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pakiety" sheetId="1" r:id="rId1"/>
  </sheets>
  <definedNames>
    <definedName name="Excel_BuiltIn__FilterDatabase_1">'pakiety'!$A$1:$J$7</definedName>
    <definedName name="Excel_BuiltIn_Print_Area_1_1">'pakiety'!$A$1:$J$809</definedName>
    <definedName name="Excel_BuiltIn_Print_Area_1_1_1">'pakiety'!$A$1:$J$411</definedName>
    <definedName name="Excel_BuiltIn_Print_Area_1_1_1_1">'pakiety'!$A$1:$J$399</definedName>
    <definedName name="Excel_BuiltIn_Print_Area_1_1_1_1_1">'pakiety'!$A$1:$J$298</definedName>
    <definedName name="Excel_BuiltIn_Print_Area_1_1_1_1_1_1">'pakiety'!$B$1:$S$298</definedName>
    <definedName name="Excel_BuiltIn_Print_Area_1_1_1_1_1_11">'pakiety'!$A$1:$J$529</definedName>
    <definedName name="_xlnm.Print_Area" localSheetId="0">'pakiety'!$A$1:$J$630</definedName>
  </definedNames>
  <calcPr fullCalcOnLoad="1"/>
</workbook>
</file>

<file path=xl/sharedStrings.xml><?xml version="1.0" encoding="utf-8"?>
<sst xmlns="http://schemas.openxmlformats.org/spreadsheetml/2006/main" count="1238" uniqueCount="356">
  <si>
    <t>L.p.</t>
  </si>
  <si>
    <t>Nazwa artykułu</t>
  </si>
  <si>
    <t>j.m.</t>
  </si>
  <si>
    <t>ilość</t>
  </si>
  <si>
    <t>Cena jednostkowa netto</t>
  </si>
  <si>
    <t>Wartość netto</t>
  </si>
  <si>
    <t>Stawka VAT %</t>
  </si>
  <si>
    <t>Wartość brutto</t>
  </si>
  <si>
    <t>rodzaj posiadanego dokumentu</t>
  </si>
  <si>
    <t>Producent i nr
katalogowy</t>
  </si>
  <si>
    <t>sztuka</t>
  </si>
  <si>
    <t>OGÓŁEM</t>
  </si>
  <si>
    <t>..................................................................................................</t>
  </si>
  <si>
    <t>podpis Wykonawcy</t>
  </si>
  <si>
    <t>nr
katalogowy</t>
  </si>
  <si>
    <t>Op.100szt</t>
  </si>
  <si>
    <t>2</t>
  </si>
  <si>
    <t>3</t>
  </si>
  <si>
    <t>4</t>
  </si>
  <si>
    <t>5</t>
  </si>
  <si>
    <t xml:space="preserve">             </t>
  </si>
  <si>
    <t>6</t>
  </si>
  <si>
    <t>Igła do biopsji tkanek miękkich w celach histologicznych, cytologicznych, bakteryjnych, jednorazowego użytku, sterylna, posiadająca ergonomiczną budowę, ze specjalnymi zwalniaczami do prostej obsługi kaniuli i mandrynu, wyposażona w czytelną skalę do określania wielkości wycinków, barwne kodowanie zwalniaczy, starannie wykonane wcięcie na powierzchni mandrynu, skośny mandryn, długość bioptatu 9,5 mm , rozmiar igły około 18 G /90 mm.</t>
  </si>
  <si>
    <t>Igła  do biopsji tkanek miękkich w celach histologicznych, cytologicznych, bakteryjnych, jednorazowego użytku, sterylna, posiadająca ergonomiczną budowę, ze specjalnymi zwalniaczami do prostej obsługi kaniuli i mandrynu, wyposażona w czytelną skalę do określania wielkości wycinków, barwne kodowanie zwalniaczy, starannie wykonane wcięcie na powierzchni mandrynu, skośny mandryn, długość bioptatu około 19 mm , rozmiar igły około 18 G /150mm</t>
  </si>
  <si>
    <t>Igła  do biopsji tkanek miękkich w celach histologicznych, cytologicznych, bakteryjnych, jednorazowego użytku, sterylna, posiadająca ergonomiczną budowę, ze specjalnymi zwalniaczami do prostej obsługi kaniuli i mandrynu, wyposażona w czytelną skalę do określania wielkości wycinków, barwne kodowanie zwalniaczy, starannie wykonane wcięcie na powierzchni mandrynu, skośny mandryn, długość bioptatu około 19 mm , rozmiar igły około 18 G /200mm</t>
  </si>
  <si>
    <t>Igła  do biopsji tkanek miękkich w celach histologicznych, cytologicznych, bakteriologicznych, jednorazowego użytku, sterylna, posiadająca ergonomiczną budowę ze specjalnymi zwalniaczami do prostej obsługi kaniuli i mandrynu, wyposażona w czytelną skalę do określania wielkości wycinków, barwne kodowanie zwalniaczy, starannie wykonane wcięcie na powierzchni mandrynu, skośny mandryn,  długość bioptatu około 19 mm, rozmiar igły około 14 G /150 mm</t>
  </si>
  <si>
    <t>Igła do biopsji tkanek miękkich w celach histologicznych, cytologicznych, bakteriologicznych, jednorazowego użytku, sterylna, posiadająca ergonomiczną budowę ze specjalnymi zwalniaczami do prostej obsługi kaniuli i mandrynu, wyposażona w czytelną skalę do określania wielkości wycinków, barwne kodowanie zwalniaczy, starannie wykonane wcięcie na powierzchni mandrynu, skośny mandryn,  długość bioptatu około 19 mm, rozmiar igły około 14 G/200mm</t>
  </si>
  <si>
    <t>7</t>
  </si>
  <si>
    <t>15</t>
  </si>
  <si>
    <t>komplet</t>
  </si>
  <si>
    <t>1</t>
  </si>
  <si>
    <t>8</t>
  </si>
  <si>
    <t>9</t>
  </si>
  <si>
    <t>10</t>
  </si>
  <si>
    <t>11</t>
  </si>
  <si>
    <t>12</t>
  </si>
  <si>
    <t>13</t>
  </si>
  <si>
    <t>14</t>
  </si>
  <si>
    <t>16</t>
  </si>
  <si>
    <t>17</t>
  </si>
  <si>
    <t>18</t>
  </si>
  <si>
    <t>19</t>
  </si>
  <si>
    <t>20</t>
  </si>
  <si>
    <t>21</t>
  </si>
  <si>
    <t>22</t>
  </si>
  <si>
    <t xml:space="preserve">Szt </t>
  </si>
  <si>
    <t>Cewnik Nelatona, rozmiary: Ch4 Ch6, Ch8, jednorazowego użytku, sterylny, kompatybilna ze strzykawką luer wykonany z medycznego PCV, o powierzchni ułatwiającej wprowadzenie, pakowany pojedynczo, na opakowaniu widoczna data ważności, opakowanie papierowo - foliowe.</t>
  </si>
  <si>
    <t>Cewnik Nelatona, rozmiary: Ch10, Ch12, Ch14, Ch16, Ch18, jednorazowego użytku, sterylny, wykonany z medycznego PCV, o  powierzchni ułatwiającej wprowadzenie, pakowany pojedynczo, na opakowaniu widoczna data ważności, opakowanie papierowo - foliowe.</t>
  </si>
  <si>
    <t>Cewnik Nelatona, rozmiary: Ch20, Ch22, Ch24, jednorazowego użytku, sterylny, wykonany z medycznego PCV, o powierzchni ułatwiającej wprowadzenie, pakowany pojedynczo, na opakowaniu widoczna data ważności, opakowanie papierowo - foliowe.</t>
  </si>
  <si>
    <t>Cewnik Tiemanna, jednorazowego użytku, sterylny, elastyczny wykonany z medycznego PCV,  na opakowaniu wyraźnie widoczna data ważności, rozmiary: Ch10, Ch12, Ch14, Ch16, Ch18, długość od 360 do  400 mm, opakowanie papierowo - foliowe.</t>
  </si>
  <si>
    <t>Cewnik Tiemanna, jednorazowego użytku, sterylny, elastyczny, wykonany z medycznego PCV,  na opakowaniu wyraźnie widoczna data ważności, rozmiary:Ch20, Ch22, Ch24, długość od 360 do 400 mm, opakowanie papierowo - foliowe.</t>
  </si>
  <si>
    <t>Zatyczka do cewników o budowie schodkowej, jednorazowego użytku, sterylna, pakowana pojedynczo, na opakowaniu data ważności.</t>
  </si>
  <si>
    <t>Cewnik do embolektomii, jednorazowego użytku, sterylny, rozmiar Ch3, długość 800 mm, posiadający kod długości co 100 mm, koniec dystalny ślepo zakończony posiadający balonik lateksowy o średnicy zewnętrznej 6 mm.</t>
  </si>
  <si>
    <t>Cewnik do embolektomii, jednorazowego użytku, sterylny, rozmiar Ch4, długość 800 mm, posiadający kod długości co 100 mm, koniec dystalny ślepo zakończony, posiadający balonik lateksowy o średnicy zewnętrznej 8 mm.</t>
  </si>
  <si>
    <t>Cewnik dwukanałowy do płukania i odsysania żołądka, kanał większy do odsysania, kanał mniejszy do wprowadzania środka farmakologicznego lub płynu płuczącego, koniec dystalny cewnika ślepo zakończony, jednorazowego użytku, sterylny, rozmiary  Ch14, Ch16, Ch18, Ch20, długość min 1200 mm.</t>
  </si>
  <si>
    <t>Cewnik Pezzera, jednorazowego użytku, sterylny, o rozmiary Ch20, Ch22, Ch24, Ch26, Ch28, Ch30, Ch32, Ch34, Ch36, długość od 320 do 350 mm, lateksowy, na opakowaniu wyraźnie oznaczony rozmiar i data ważności, silikonowany i niesilikowany.</t>
  </si>
  <si>
    <t>Cewnik do odsysania jednorazowego użytku, sterylny, wykonany z medycznego PCV, rozmiary Ch6, Ch8, Ch10, długość ok.400 mm, zaopatrzony w dwa małe naprzeciwległe otwory boczne nie przekraczające swoją powierzchnią wielkości otworu centralnego, zapobiegające zasysaniu śluzówki i jeden otwór centralny.</t>
  </si>
  <si>
    <t>Cewnik do odsysania jednorazowego użytku, sterylny, wykonany z medycznego PCV, rozmiary: 12Ch, 14Ch, 16Ch, 18Ch, długość ok. 600 mm, zaopatrzony w dwa naprzeciwległe otwory boczne nie przekraczające swoją powierzchnią wielkości otworu centralnego, zapobiegające zasysaniu śluzówki.</t>
  </si>
  <si>
    <t>Cewnik do odśluzowywania, sterylny, skalowany, jednorazowego użytku, z kontrolą siły odsysania, z dwoma otworami umiejscowionymi bocznie i jednym centralnie, otwory boczne naprzeciwległe, nie przekraczające swoją powierzchnią wielkości otworu centralnego, stosowany u noworodków i wcześniaków, o rozmiarach Ch4, Ch5, Ch6,  Ch8, Ch10, opakowanie papierowo – foliowe.</t>
  </si>
  <si>
    <t>Łącznik do kontroli siły odsysania, umożliwiający pełną kontrolę odsysania, do połączenia drenów ssących.</t>
  </si>
  <si>
    <t>Dren do jamy otrzewnowej, rozmiary:  Ch20, Ch22,  Ch24, Ch26, Ch28, Ch30, Ch32, Ch34, Ch36, lateksowy, miękki, jednorazowego użytku, sterylny, o długości od 320 do 340 mm, pakowany pojedynczo, na opakowaniu wyraźnie oznaczony rozmiar oraz data ważności.</t>
  </si>
  <si>
    <t>Dren Kehra, rozmiary Ch10 , Ch12, Ch14, Ch16, Ch18, Ch20, Ch22, Ch24, jednorazowego użytku, sterylny, lateksowy, długość drenu od 700  do 800 mm.</t>
  </si>
  <si>
    <t>Dren Redona, rozmiary Ch10, Ch12, Ch14, Ch16, Ch18, przeznaczony do drenażu ran pooperacyjnych, dokładna perforacja, nitka radiacyjna na całej długości drenu, wyraźny czytnik głębokości,  długość drenu od 500mm do 800mm, jednorazowego użytku, sterylny, dobrze oznakowany rozmiarami oraz datą ważności.</t>
  </si>
  <si>
    <t>Dren brzuszny jednorazowego użytku, sterylny, przeznaczony do odsysania treści płynnej z jamy brzusznej po operacji, rozmiary Ch18, Ch28, Ch32,  Ch34, długość 40 cm.</t>
  </si>
  <si>
    <t>Dren do ssaka, niesterylny z możliwością sterylizacji, o przekroju 7 mm, przeźroczysty z balonowymi rozszerzeniami co 90 cm, opakowanie 30 metrów.</t>
  </si>
  <si>
    <t>opakowanie</t>
  </si>
  <si>
    <t>Dren łącznikowy stosowany jako przedłużacz do urządzeń ssących, wykonany z PCV, kształt rurki o zmiennej średnicy, zakończony z obu stron lekkim rozszerzeniem, długość drenu ok. 2000 mm.</t>
  </si>
  <si>
    <t>Dren łącznikowy stosowany jako przedłużacz do urządzeń ssących, wykonany z PCV, kształt rurki o zmiennej średnicy, zakończony z obu stron lekkim rozszerzeniem, długość drenu ok. 3000 mm.</t>
  </si>
  <si>
    <t>Pojemnik Vacum, do odsysania wydzieliny z ran, jednorazowego użytku, sterylny, o pojemności od 200 do 250 ml, typu Redon.</t>
  </si>
  <si>
    <t>Zestaw do odsysania pola operacyjnego typu Yankauer, jednorazowego użytku, sterylny, o długości drenu od 2100 do 3100 mm, obtopienie końca dystalnego oraz otwór centryczny i cztery otwory boczne gwarantujący odpowiednie odsysanie.</t>
  </si>
  <si>
    <t>Stabilizator do cewników wprowadzanych przez nos.</t>
  </si>
  <si>
    <t>Sonda do karmienia noworodków, jednorazowego użytku, sterylna, dwa otwory boczne, atraumatyczny zamknięty koniec, rozmiary:Ch5 , Ch6, Ch8, Ch10, długość od 400  do 1000 mm, wyposażona w kod barwny oznaczający rozmiar, końcówka dostosowana do karmienia strzykawką.</t>
  </si>
  <si>
    <t>Zgłębnik żołądkowy, jednorazowego użytku, sterylny, wykonany z medycznego PCV, posiadający dwa otwory boczne, atraumatyczny koniec, kod barwny na nasadkach oznaczający rozmiar, pakowany pojedynczo, z wyraźnym oznakowaniem rozmiaru na opakowaniu oraz datą ważności, długość od 800 mm do 1000 , rozmiary: Ch12, Ch14, Ch16, Ch18.</t>
  </si>
  <si>
    <t>Zgłębnik żołądkowy, jednorazowego użytku, sterylny, wykonany z medycznego PCV, posiadający dwa otwory boczne, atraumatyczny koniec, kod barwny na nasadkach oznaczający rozmiar, pakowany pojedynczo, z wyraźnym oznakowaniem rozmiaru na opakowaniu oraz datą ważności, długość od 800  do 1000 mm, rozmiary: Ch20, Ch22, Ch24.</t>
  </si>
  <si>
    <t>Zgłębnik żołądkowy, jednorazowego użytku, sterylny, wykonany z medycznego PCV, posiadający dwa otwory boczne, atraumatyczny koniec, kod barwny na nasadkach oznaczający rozmiar, pakowany pojedynczo, z wyraźnym oznakowaniem rozmiaru na opakowaniu oraz datą ważności, długość od 800  do 1000 mm, rozmiary: CH 26, Ch28, Ch30, Ch32, Ch34, wejście zgłębnika lejkowate umożliwiające osadzenie lejka.</t>
  </si>
  <si>
    <t>Zgłębnik dwunastniczy, jednorazowego użytku, sterylny, wykonany z medycznego PCV, ze znacznikiem RTG, posiadający 4 naprzemianległe otwory boczne i centralny, atraumatyczny koniec, kod barwny na nasadkach oznaczający rozmiar, pakowany pojedynczo, z wyraźnym oznakowaniem rozmiaru na opakowaniu oraz datą ważności, długość 125 cm, rozmiary: Ch8, Ch10, Ch12, Ch14, Ch16, Ch18, Ch20.</t>
  </si>
  <si>
    <t>Łączniki do drenów, cewników i innych przyrządów medycznych, jednorazowego użytku, niesterylne, wykonane z przeźroczystego tworzywa sztucznego, proste, o budowie schodkowej,</t>
  </si>
  <si>
    <t>Zestaw do szynowania moczowodów wewnętrznych, jednorazowego użytku, sterylny, rozmiar 4 F / 24 / 2.</t>
  </si>
  <si>
    <t>Zestaw do szynowania moczowodów wewnętrznych, jednorazowego użytku, sterylny, rozmiar 5 F/ 24 /2, 7F/24/2</t>
  </si>
  <si>
    <t>Sonda moczowodowa typu Nelaton, jednorazowego użytku, sterylna, rozmiar 4 F-7F.</t>
  </si>
  <si>
    <t>Cewnik Foley, rozmiar Ch10, jednorazowego użytku, sterylny, pakowany pojedynczo, na opakowaniu widoczny rozmiar oraz data ważności, obustronnie silikonowany, opakowanie papierowo - foliowe.</t>
  </si>
  <si>
    <t>Cewnik Foley, rozmiar Ch12, Ch14, Ch16, Ch18, Ch20, Ch24, jednorazowego użytku, sterylny, pakowany pojedynczo, na opakowaniu widoczny rozmiar oraz data ważności, obustronnie silikonowany, opakowanie papierowo- foliowe</t>
  </si>
  <si>
    <t>Wielorazowy, niejałowy zestaw silikonowych drenów płucząco - ssących do laparoskopii do pompy PG 100 firmy Aesculap</t>
  </si>
  <si>
    <t>Wielorazowy, niejałowy zestaw drenów płuczących do artroskopii do pompy PG 100 firmy Aesculap</t>
  </si>
  <si>
    <t>Worek (membrana) do pompy arthroskopowej f-my Aesculap PG100 wielorazowego użytku.</t>
  </si>
  <si>
    <t>Torba na wydzieliny jednorazowego użytku o pojemności 2 litry, FLOVAC do ssaka elektrycznego typu VICTORIA firmy Cheirón</t>
  </si>
  <si>
    <t>Słuchawki lekarskie.</t>
  </si>
  <si>
    <t>Słuchawki noworodkowe</t>
  </si>
  <si>
    <t>Gruszki aparatu do mierzenia ciśnienia, wykonane z elastycznego materiału pozwalającego na długie   użytkowanie z zaworkami.</t>
  </si>
  <si>
    <t>Mankiet aparatu  do mierzenia ciśnienia na udzie dla dorosłych odpowiednio długi jasny, łatwy w utrzymaniu czystości, z materiału wytrzymującego wielokrotne pranie , bez metalowej klamry, wygodny do zakładania i modelowania.</t>
  </si>
  <si>
    <t>Mankiet aparatu  do mierzenia ciśnienia dla dorosłych, odpowiednio długi, jasny, łatwy w utrzymaniu czystości, z materiału wytrzymującego wielokrotne pranie, bez metalowej klamry, wygodny do zakładania i modelowania na grubym i krótkim ramieniu.</t>
  </si>
  <si>
    <t>Aparat zegarowy do mierzenia ciśnienia dla dorosłych, z odpowiednio długim mankietem, jasny, łatwy w utrzymaniu czystości, wykonany z materiału wytrzymującego wielokrotne pranie, bez metalowej klamry, wygodny do zakładania i modelowania na grubym i krótkim ramieniu, gumowe gruszki wykonane z elastycznego materiału pozwalającego na długotrwałe użytkowanie, z zaworami.</t>
  </si>
  <si>
    <t xml:space="preserve">Paski fluoresceinowe stosowane do diagnostyki zaburzeń filmu łzowego jak również do wybarwiania oka przy doborze twardych soczewek kontaktowych, do pomiaru czasu przerwania filmu łzowego oraz w tonometrii aplanacyjnej. </t>
  </si>
  <si>
    <t>Sztance biopsyjne jednorazowego użytku, sterylne gotowe do użytku, jednolita ostra krawędź tnąca z nierdzewnej stali, żebrowana rączka poprawia uścisk i kontrolę nad produktem, łatwa identyfikacja rozmiaru produktu, rozmiar 3,5 mm i 5 mm</t>
  </si>
  <si>
    <t>Starter - zapłonnik do świetlówek .</t>
  </si>
  <si>
    <t>Świetlówki fluorescencyjne lecznicze 18 W, światło niebieskie do lampy do fototerapii Photo Terapy 4000</t>
  </si>
  <si>
    <t>Świetlówki fluorescencyjne oświetlające 18 W, światło białe, do lampy Photo-Terapy 4000</t>
  </si>
  <si>
    <t>Świetlówki fluorescencyjne do urządzenia Bilibet 18 w / 71  (2 G 11)</t>
  </si>
  <si>
    <t>Folia do do urządzenia Bilibet przezroczysta,rozm. S, zaopatrzona w rzepy boki folii ścięte i zaokrąglone celem umieszczenia jej w stelażu</t>
  </si>
  <si>
    <t>Kombinezon do urządzenia Bilibet rozm. S, wielorazowego użytku wykonany z przyjaznej tkaniny typu frotte z możliwością prania do 95stopni , spód kombinezonu wykonany z tkaniny przepuszczającej promienie lampy, zaopatrzony w rzepy umożliwiające umocowanie kombinezonu do folii. Na górze zamek błyskawiczny pozwalający bezpiecznie i wygodnie wykonywać czynności pielęgnacyjne. Wskazane aby kombinezon posiadał rękawki.</t>
  </si>
  <si>
    <t>Komplet gumowych zatyczek do sondy mostka impedancyjnego przy wykonywaniu badania słuchu</t>
  </si>
  <si>
    <t>Końcówka sondy zewnętrznej do urządzenia Ero – Scan, OTO-RED służącego do badania słuchu u noworodków.</t>
  </si>
  <si>
    <t>Papillotomy trój-kanałowe o średnicy 4,5 Fr, oddzielne kanały do podawania kontrastu i do prowadnicy 0,035", kontrastująca końcówka ze znacznikami, zakrzywiony (wielorazowego użytku - autoklawowalny) - cięciwa 25 mm, nosek 7 mm - zwężany; długość narzędzia 195 cm, minimalna średnica kanału roboczego 2,8 mm; ZESTAW B: 2 papillotomy, 2 uszczelniające zatyczki, lub równoważny do wymienionych parametrów.</t>
  </si>
  <si>
    <t>Opakowanie (po 2 sztuk )</t>
  </si>
  <si>
    <t>Papillotomy trój-kanałowe o średnicy 4,5 Fr, oddzielne kanały do podawania kontrastu i do prowadnicy 0,035", kontrastująca końcówka ze znacznikami, zakrzywiony (wielorazowego użytku – autoklawowalne) - cięciwa 20 mm, nosek 3 mm - zwężany; długość narzędzia 195 cm, minimalna średnica kanału roboczego 2,8 mm; ZESTAW B: 2 papillotomy, 2 uszczelniające zatyczki, lub równoważny do wymienionych parametrów.</t>
  </si>
  <si>
    <t>Prowadnica Linearguide G - V210 - 3545 S do zabiegów endoskopowych na drogach żółciowych i trzustkowych, giętka, z hydrofilną końcówką długość 500 mm i podwójnym systemem znaczników. Średnica 0,035", długość robocza 450 cm. Końcówka prosta, lub równoważna do wymienionych parametrów.</t>
  </si>
  <si>
    <t>Szczypce biopsyjne uchylne (możliwość biopsji stycznej) do dróg żółciowych i trzustkowych (wielorazowego użytku - autoklawowalne), łyżeczki biopsyjne typu do ECPW z Okienkiem i Zębem Szczura, osłonka profilowana - 1sztuka, długość narzędzia 195 cm, minimalna średnica kanału roboczego 2,2 mm, lub równoważna do wymienionych parametrów.</t>
  </si>
  <si>
    <t>Szczypce biopsyjne uchylne (możliwość biopsji stycznej) do dróg żółciowych i trzustkowych (wielorazowego użytku - autoklawowalne), łyżeczki biopsyjne typu do ECPW z Okienkiem i Zębem Szczura, osłonka profilowana, możliwość podawania kontrastu - 1sztuka, długość narzędzia 195 cm, minimalna średnica kanału roboczego 2,8 mm, lub równoważna do wymienionych parametrów.</t>
  </si>
  <si>
    <t>Cewnik  do dróg żółciowych i trzustkowych - gładka półokrągła końcówka ze szczelinowatym nacięciem w kształcie litery X, średnica platynowej końcówki 2,5 Fr, znaczniki co 3 mm (wielorazowego użytku - autoklawowalny), do prowadnicy 0,035", długość narzędzia min.195 cm, minimalna średnica kanału roboczego2,2 mm lub równoważny do wymienionych parametrów.</t>
  </si>
  <si>
    <t>Koszyk standardowy (o wymiarach 22 x 40 mm) do usuwania złogów z dróg żółciowych (wielorazowego użytku - autoklawowalny), drut koszyka twardy - 1 sztuka, długość narzędzia 195 cm, minimalna średnica kanału roboczego 2,8 mm, lub równoważny do wymienionych parametrów.</t>
  </si>
  <si>
    <t>Koszyk standardowy (o wymiarach 22 x 40 mm) do usuwania złogów z dróg żółciowych (wielorazowego użytku - autoklawowalny), drut koszyka miękki - 1 sztuka, długość narzędzia 195 cm, minimalna średnica kanału roboczego 2,8 mm, lub równoważna do wymienionych parametrów.</t>
  </si>
  <si>
    <t>Balon do rewizji dróg żółciowych, trój-kanałowy, z osobnym kanałem do kontrastu (ujście powyżej balonu) i do prowadnicy 0,035" a także trójstopniowy (3 szerokości: 8,5 mm, 11,5 mm, 15 mm). Jednorazowego użytku, długość narzędzia minimum 195 cm, minimalna średnica kanału roboczego 2,8 mm.  Ujście kontrastu powyżej balonu, lub równoważny do wymienionych parametrów.</t>
  </si>
  <si>
    <t>Igły endoskopowe jednorazowego użytku, długość ostrza 5 mm, średnica 22G, długość robocza 180 cm, minimalna średnica kanału roboczego 2,8 mm. Opakowanie - 10 sztuk, lub równoważne do wymienionych parametrów.</t>
  </si>
  <si>
    <t>opakowanie (10 sztuk)</t>
  </si>
  <si>
    <t>Igły endoskopowe, jednorazowego użytku do ostrzykiwania z osłonką teflonową. Średnica kanału roboczego 2,8 mm. Długość robocza 2300 mm, długość ostrza 4mm, średnica igły 23G=0,6 mm.</t>
  </si>
  <si>
    <t>Opakowanie (5 szt )</t>
  </si>
  <si>
    <t>Szczypce do biopsji żołądka ,niesterylne,wielorazowego użytku o min. średnicy kanału roboczego 2,8 mm, dł. narzędzia min.1550 mm,łyżeczki okrągłe bez igły, autoklawowalne.</t>
  </si>
  <si>
    <t>Pętla elektrochirurgiczna kolonoskopowa SD - 11U z plecionego drutu (0,43 mm), kształt standardowy Duży Owal o średnicy 48 mm (wielorazowego użytku - autoklawowalna) bez osłonki. OBROTOWA - 1 sztuka, długość narzędzia 230 cm, minimalna średnica kanału roboczego 2,8 mm, lub równoważna do wymienionych parametrów.</t>
  </si>
  <si>
    <t>Osłonka teflonowa (wielorazowego użytku - autoklawowalna) do pętli elektrochirurgicznych kolonoskopowych: SD - 9U, SD - 10U, SD - 11U, SD - 12U, SD - 13U, SD - 16U, SD - 17U - 1 szt. Długość narzędzia 230 cm, minimalna średnica kanału roboczego 2,8 mm, lub równoważna do wymienionych parametrów.</t>
  </si>
  <si>
    <t>Balon średnio-ciśnieniowy do endoskopowego poszerzania przełyku (wielorazowego użytku - autoklawowalny) długość balonu 80 mm, średnica zewnętrzna 12mm - 1 szt. Długość narzędzia 180 cm, minimalna średnica kanału roboczego 2,8 mm, lub równoważny do wymienionych parametrów.</t>
  </si>
  <si>
    <t>Urządzenie pompujące do balonów średnio  i wysokociśnieniowych (jednorazowego użytku)  lub równoważna do wymienionych parametrów.</t>
  </si>
  <si>
    <t>Szczotka standardowa do czyszczenia kanałów endoskopów (do wszystkich gastroskopów, kolonoskopów, sigmoidoskopów i duodenoskopów), zakończona kulką (wielorazowego użytku - autoklawowalna) - 1 sztuka, długość narzędzia 220 cm, minimalna średnica kanału roboczego od 2,0 mm, lub równoważna do wymienionych parametrów.</t>
  </si>
  <si>
    <t>W przypadku narzędzi endoskopowych wielorazowego użytku - autoklawowalnych Zamawiający prosi o podanie zaleceń producenta, co do sterylizacji.</t>
  </si>
  <si>
    <t>Zestaw do wprowadzania protez średnicy 8,5 Fr. Wstępnie złożony zawierający: razem złożone i pakowane 1 cewnik teflonowy wprowadzający (wielorazowego użytku - autoklawowalny) i 1 popychacz (wielorazowego użytku); długość robocza 155 cm, minimalna średnica kanału roboczego 3,2 mm, kompatybilny z protezami 8,5 Fr, lub równoważny do wymienionych parametrów.</t>
  </si>
  <si>
    <t>Zestaw do wprowadzania protez średnicy 10 Fr. Wstępnie złożony zawierający: razem złożone i pakowane 1 cewnik teflonowy wprowadzający (wielorazowego użytku - autoklawowalny) i 1 popychacz (wielorazowego użytku); długość robocza 155 cm, minimalna średnica kanału roboczego 4,2 mm, kompatybilny z protezami 10 Fr, lub równoważny do wymienionych parametrów..</t>
  </si>
  <si>
    <t>Proteza polietylenowa do dróg żółciowych, jednorazowego użytku, typ „Amsterdam”, średnica 5 Fr, odległość między nacięciami fiksującymi protezę 30 mm, lub równoważna do wymienionych parametrów.</t>
  </si>
  <si>
    <t>Proteza polietylenowa do dróg żółciowych, jednorazowego użytku, typ „Amsterdam”, średnica 8,5 Fr, odległość między nacięciami fiksującymi protezę 50 mm, lub równoważna do wymienionych parametrów.</t>
  </si>
  <si>
    <t>Proteza polietylenowa do dróg żółciowych, jednorazowego użytku, typ”Amsterdam” , średnica 8,5 Fr, odległość między nacięciami fiksującymi protezę 70 mm, lub równoważna do wymienionych parametrów.</t>
  </si>
  <si>
    <t>Proteza polietylenowa do dróg żółciowych, jednorazowego użytku, typ „Amsterdam”, średnica 8,5 Fr, odległość między nacięciami fiksującymi protezę 90 mm, lub równoważna do wymienionych parametrów.</t>
  </si>
  <si>
    <t>Proteza  polietylenowa do dróg żółciowych jednorazowego użytku, typ „Amsterdam”, średnica 8,5 Fr. dwuwarstwowy, odległość między nacięciami fiksującymi protezę 120 mm lub równoważna do wymienionych parametrów.</t>
  </si>
  <si>
    <t>Proteza  polietylenowa do dróg żółciowych jednorazowego użytku, typ „Amsterdam”, średnica 8,5 Fr. dwuwarstwowy, odległość między nacięciami fiksującymi protezę 150 mm lub równoważna do wymienionych parametrów.</t>
  </si>
  <si>
    <t>Proteza polietylenowa do dróg żółciowych, jednorazowego użytku, typ „Amsterdam”, średnica 10 Fr, odległość między nacięciami fiksującymi protezę 50 mm, lub równoważna do wymienionych parametrów.</t>
  </si>
  <si>
    <t>Proteza polietylenowa do dróg żółciowych, jednorazowego użytku, typ „Amsterdam”, średnica 10 Fr, odległość między nacięciami fiksującymi protezę 70 mm lub równoważna do wymienionych parametrów.</t>
  </si>
  <si>
    <t xml:space="preserve">Proteza polietylenowa do dróg żółciowych jednorazowego użytku, typ „Amsterdam”, średnica stentu 10Fr, odległość między nacięciami fiksującymi protezę 90 mm, lub równoważna do wymienionych parametrów  </t>
  </si>
  <si>
    <t>Proteza polietylenowa do dróg żółciowych jednorazowego użytku, typ „Amsterdam”, średnica stentu 10 Fr, odległość między nacięciami fiksującymi protezę 120 mm, lub równoważna do wymienionych parametrów</t>
  </si>
  <si>
    <t>Proteza polietylenowa do dróg żółciowych jednorazowego użytku, typ „Amsterdam”, średnica stentu 10 Fr, odległość między nacięciami fiksującymi protezę 150 mm, lub równoważna do wymienionych parametrów</t>
  </si>
  <si>
    <t>Proteza do dróg żółciowych jednorazowego użytku, podwójnie zagięta typu „double pig-tail” ze znacznikami położenia średnica stentu 10 Fr, odległość między nacięciami fiksującymi protezę 50 mm, lub równoważna do wymienionych parametrów</t>
  </si>
  <si>
    <t>Proteza do dróg żółciowych jednorazowego użytku, podwójnie zagięta typu „double pig-tail” ze znacznikami położenia średnica stentu 10 Fr, odległość między nacięciami fiksującymi protezę 70 mm, lub równoważna do wymienionych parametrów</t>
  </si>
  <si>
    <t>Proteza do dróg żółciowych jednorazowego użytku, podwójnie zagięta typu „double pig-tail” ze znacznikami położenia średnica stentu 10 Fr, odległość między nacięciami fiksującymi protezę 90 mm, lub równoważna do wymienionych parametrów</t>
  </si>
  <si>
    <t>Chwytak palczasty kolonoskopowy do usuwania większych polipów, 3-ramienny (wielorazowego użytku), rozpiętość ramion 20 mm-1szt, długość narzędzia 230cm, minimalna średnica kanału roboczego 2,8 mm lub równoważny do wymienionych parametrów.</t>
  </si>
  <si>
    <t>Chwytak palczasty kolonoskopowy do usuwania mniejszych polipów, 5-ramienny (wielorazowego użytku), rozpiętość ramion 20 mm-1szt, długość narzędzia 230cm, minimalna średnica kanału roboczego 2,8 mm lub równoważny do wymienionych parametrów.</t>
  </si>
  <si>
    <t>Cewnik do dróg żółciowych i trzustkowych zakończony metalową kulką, znaczniki co 3 mm (wielorazowego użytku), do prowadnicy 0,035``-1 szt., długość narzędzia 195 cm, minimalna średnica kanału roboczego 2,8 mm lub równoważny do wymienionych parametrów.</t>
  </si>
  <si>
    <t>Rękojeść typu KD do papilotomów serii KD, wyjątkiem papilotomów igłowych, z ogranicznikami (wielorazowego użytku-autoklawowalna) lub równoważny do wymienionych parametrów.</t>
  </si>
  <si>
    <t>Klipsy jednorazowe do klipsownicy EZ Clip, standardowe, kąt rozwarcia 135 stopni, długość ramion klipsa 6 mm lub równoważny do wymienionych parametrów.</t>
  </si>
  <si>
    <t>Zawór woda/powietrze nie wymagający nawilżania, do gastro-, kolono-, duonodenoskopy: OES 40, Evis 140, 145,160,165,180,249,260</t>
  </si>
  <si>
    <t>Protezy samorozprężalne do paliatywnego protezowania nowotworowych zwężeń przełyku. Protezy całkowicie pokrywane z pierścieniem antymigracyjnym, z pętla do repozycjonowania i/lub usunięcia protezy, średnica 20 mm (+/-2 mm), zestaw do wprowadzenia współpracujący z prowadnikiem 0,035 cala z zastawką antyrefluksową i bez zastawki, długość stenów 8-15 cm</t>
  </si>
  <si>
    <t xml:space="preserve">Samorozprężalne protezy ulegające samoistnej degradacji. Średnica protez 16 -25 mm (+/- 2 mm), długość protezy 60-140 mm (+/-5mm), znaczniki radiologicznie położna, szersze końce protezy ograniczające migrację   </t>
  </si>
  <si>
    <t>Worki na mocz, jednorazowego użytku, skalowane, o pojemności od 1,5 do 2 litrów, z zaworem anty-zwrotnym zmniejszającym ryzyko infekcji wstecznej, z odpływem, otwory na wieszaki specjalnie wzmocnione, długość drenu minimum 100 cm.</t>
  </si>
  <si>
    <t>Wieszaki do worków na mocz, wykonane z tworzywa sztucznego, pasujące do wszystkich ram łóżka.</t>
  </si>
  <si>
    <t>Ostrza chirurgiczne jednorazowego użytku, jałowe, wykonane ze stali nierdzewnej lub węglowej pasujące do wszystkich standardowych trzonków, pakowane pojedynczo, na opakowaniu dokładnie oznaczony rozmiar ostrza, data ważności oraz producent, o rozmiarach od 10-24.</t>
  </si>
  <si>
    <t>opakowanie po 100 sztuk</t>
  </si>
  <si>
    <t>Szpatułki drewniane, wykonane z drewna  brzozowego, gładkie, elastyczne, jednorazowego użytku, o wymiarach około 18 mm, szerokości i od 140 mm do 150 mm długości.</t>
  </si>
  <si>
    <t>Szpatułki plastikowe, jednorazowego użytku.</t>
  </si>
  <si>
    <t>Pęsety proste,końce zaokrąglone,wykonane ze stali o dł.115 mm</t>
  </si>
  <si>
    <t>Osłonki medyczne.</t>
  </si>
  <si>
    <t>Patyczki kosmetyczne , końcówka patyczka z dwustronnie nawiniętą 100% bawełną  długość ok 8cm</t>
  </si>
  <si>
    <t>Patyczki higieniczne plastikowe</t>
  </si>
  <si>
    <t>opakowanie po 100 szt</t>
  </si>
  <si>
    <t>Szczotki do czyszczenia rurek tracheostomijnych, sprzętu laparoskopowego, plastikowe, okrągłe o średnicy do 10 mm.</t>
  </si>
  <si>
    <t>Stazy automatyczne służące do zaciskania przy nakłuwaniu naczyń obwodowych, łatwe w utrzymaniu czystości, wygodne w zapinaniu i rozpinaniu, lecz nie rozpinające się samodzielnie, szerokość stazy ok 25 mm, z możliwością sterylizacji w autoklawie.</t>
  </si>
  <si>
    <t>Rękawice foliowe Rozmiary: S, M, L  a' 100 szt.</t>
  </si>
  <si>
    <t>Pampersy dla dorosłych jednorazowego użytku rozmiary M- XL</t>
  </si>
  <si>
    <t>Butelki do karmienia noworodków z podziałką</t>
  </si>
  <si>
    <t>Końcówki jednorazowego użytku do otoskopu dla dzieci rozmiar 2,5 mm i 4 mm</t>
  </si>
  <si>
    <t>Aparat do golenia medyczny, jednorazowy, z grzebykiem pod ostrzem i długim trzonkiem (czworobok). Ostrze pozwala na golenie na sucho i mokro - z powłoką teflonową.</t>
  </si>
  <si>
    <t>opakowanie po 100 szt.</t>
  </si>
  <si>
    <t>Aplikatory do podawania leczniczego Lidocain – EGIS aerozol 10% długość kaniuli 100 mm, wysokość głowicy 15, 78 mm +/-0,05 mm, średnica głowicy 15,80 mm +/- 0,05 mm</t>
  </si>
  <si>
    <t>Pościel niejałowa jednorazowego użytku, przeznaczona dla pacjentów z zagrożeniem epidemiologicznym (zgorzel gazowa)</t>
  </si>
  <si>
    <t>Szczelne okulary ochronne – gogle</t>
  </si>
  <si>
    <t>Termofory gumowe,</t>
  </si>
  <si>
    <t>Worki na lód gumowe,</t>
  </si>
  <si>
    <t>Pojemniki do medycznych reduktorów tlenowych do nawilżania, plastikowe.</t>
  </si>
  <si>
    <t>""Komora wilgotna"" jednorazowego użytku, plastikowa, przeźroczysta  osłona stosowana przy niedomykalności powiek, o brzegach atraumatycznych, pokrytych włókniną.</t>
  </si>
  <si>
    <t>Szczotki do mycia kanału roboczego endoskopu jednorazowego użytku</t>
  </si>
  <si>
    <t>Podkłady gumowe o rozmiarze minimum 90 x 140 cm.</t>
  </si>
  <si>
    <t>Termometr do lodówki z wyraźną skalą</t>
  </si>
  <si>
    <t>Rurka anoskopowa jednorazowego użytku o długości 8 cm , 2 cm</t>
  </si>
  <si>
    <t>Kompresy żelowe zimno/ciepło o wymiarach 20 cm x 18 cm.</t>
  </si>
  <si>
    <t>Kompresy żelowe zimno/ciepło o wymiarach 12 cm x 18 cm.</t>
  </si>
  <si>
    <t>Filtr do próżni przeciwbakteryjny i przeciwwirusowy o skuteczności filtracji większej lub równej 99,999 % ,hydrofobowy, średnica wewnętrzna 5,5mm, średnica zewnętrzna 7,5 mm</t>
  </si>
  <si>
    <t>Filtr lipidowy  do żywienia dla wcześniaków i noworodków. Max czas stosowania 24h. Wyposażony w zacisk szczelinowy i samoodpowietrzacz, mały, płaski, membrana 1,2um, eliminuje cząstki nieorganiczne i grzyby. Przepływ 10ml/1h, objetość wypełnienia 0,5ml, s</t>
  </si>
  <si>
    <t>Filtr infuzyjny neonatologiczny dla wcześniaków i noworodków wyposażony w zacisk szczelinowy i samoodpowietrzacz. Bardzo mały, płaski, membrana 0,2um. Objętość wypełnienia 0,4ml, przepływ 100ml/1h. Sterylizowany radiacyjnie, bezlateksowy.</t>
  </si>
  <si>
    <t>Czujnik temperatury wielorazowego użytku kompatybilny z inkubatorem otwartym AIR SHIELDS II CS-90</t>
  </si>
  <si>
    <t>Narożnik do inkubatora otwartego intensywnego nadzoru AIR SHIELDS II Cs-90</t>
  </si>
  <si>
    <t>Pojemnik do ssaka wielorazowego użytku z możliwością sterylizacji  do inkubatora otwartego intensywnego nadzoru AIR SHIELDS II CS-90</t>
  </si>
  <si>
    <t>Boczna ściana inkubatora otwieranego intensywnego nadzoru AIR SIHELDS II CS -90 o wymiarach dł. 63,5 cm szer. 20 cm. Zakończonym materiałem wykonanym z metalu z bolcami umożliwiającymi zabezpieczenie ścianek w narożniku inkubatora</t>
  </si>
  <si>
    <t>Ściana inkubatora otwieranego intensywnego nadzoru AIR SIHELDS II CS -90 o wymiarach dł. 50 cm szer. 20 cm. Zakończonym materiałem wykonanym z metalu z bolcami umożliwiającymi zabezpieczenie ścianek w narożniku inkubatora (ścianka przednia i tylna)</t>
  </si>
  <si>
    <t>1.</t>
  </si>
  <si>
    <t>Kołnierz Schantza jednorazowego użytku</t>
  </si>
  <si>
    <t>Narzędzie do ablacji i modyfikacji termicznej przy artroskopii stawu kolanowego, kompatybilne z waporyzatorem Quantum 2 – ArthroCare Sportsmedicine, jednorazowe, sterylne, do precyzyjnego wygładzania i ablacji chrząstki.  Na opakowaniu wyraźnie oznaczony rodzaj narzędzia oraz data ważności</t>
  </si>
  <si>
    <t>Narzędzie do ablacji i modyfikacji termicznej przy artroskopii stawu kolanowego, kompatybilne z waporyzatorem Quantum 2 – ArthroCare Sportsmedicine, jednorazowe, sterylne, do ACL i oczyszczania łąkotki.  Na opakowaniu wyraźnie oznaczony rodzaj narzędzia oraz data ważności</t>
  </si>
  <si>
    <r>
      <t>Narzędzie do ablacji i modyfikacji termicznej przy artroskopii stawu kolanowego, kompatybilne z waporyzatorem Quantum 2 – ArthroCare Sportsmedicine, jednorazowe, sterylne, do uwolnień bocznych – haczyk 3,5mm; 30</t>
    </r>
    <r>
      <rPr>
        <vertAlign val="superscript"/>
        <sz val="10"/>
        <color indexed="8"/>
        <rFont val="Calibri"/>
        <family val="2"/>
      </rPr>
      <t>0</t>
    </r>
    <r>
      <rPr>
        <sz val="10"/>
        <color indexed="8"/>
        <rFont val="Calibri"/>
        <family val="2"/>
      </rPr>
      <t xml:space="preserve"> .  Na opakowaniu wyraźnie oznaczony rodzaj narzędzia oraz data ważności</t>
    </r>
  </si>
  <si>
    <t>Narzędzie do ablacji i modyfikacji termicznej przy artroskopii stawu kolanowego, kompatybilne z waporyzatorem Quantum 2 – ArthroCare Sportsmedicine, jednorazowe, sterylne, z funkcją silnego ssania do kontrolowanego szybkiego usuwania wszystkich rodzajów tkanek miękkich.  Na opakowaniu wyraźnie oznaczony rodzaj narzędzia oraz data ważności</t>
  </si>
  <si>
    <t>Opaska mocujaca pulsoksymetru, zapinana na rzep z delikatnego tworzywa, nie odparzającego, czysta medycznie, pojedynczo pakowana, w dwóch rozmiarach o długości 14cm i 18cm</t>
  </si>
  <si>
    <t>Szyna derotacyjna wykonana z miękkiego poliuretanu; służąca do fizjologicznego ustawienia kończyny dolnej po złamaniach i operacjach w obrębie stawów biodrowych, zapobiegająca przypadkowym rotacjom</t>
  </si>
  <si>
    <t>para</t>
  </si>
  <si>
    <t xml:space="preserve">Rękawice ochronne z chemicznie odpornego kauczuku nitrylowego, flokowane, dające dużą sprawność manualną                                                </t>
  </si>
  <si>
    <t>Kaczki plastikowe, o pojemności 1000 ml, brzegi o łagodnych wykończeniach, długość szyjki  ok.10 cm, z przykrywką.</t>
  </si>
  <si>
    <t>Baseny plastikowe z przykrywką.</t>
  </si>
  <si>
    <t>Miski nerkowate małe, średnie, duże wykonane z tworzywa sztucznego, z możliwością wielokrotnej sterylizacji,</t>
  </si>
  <si>
    <t>Pojniki dla chorych wykonane z tworzywa sztucznego, łatwe w utrzymaniu czystości, przeznaczone do dezynfekcji i sterylizacji.</t>
  </si>
  <si>
    <t>Słoje plastikowe do zbiórki moczu, przeźroczyste, wykonane z twardego PCV, o pojemności 2500 ml, z podziałką co 100 ml, o średnicy otworu wlewowego ok. 15 cm, z pokrywką. uchwytem i portem dodatkowym do pobierania próbek.</t>
  </si>
  <si>
    <t>Balon poporodowy bakri do tamowania krwawienia, rozmiar 24Fr/54 cm, cewnik silikonowy bez lateksu, max wypełnienie 500 ml, jałowy pakowany pojedynczo.</t>
  </si>
  <si>
    <t>Opaska identyfikacyjna dla noworodków i dzieci uniwersalna,  jednorazowego użytku, niesterylna, przeźroczysta, łatwa w zapinaniu, nierozpinająca się, pasek papieru na wpisanie danych identyfikacyjnych dziecka o szerokości minimum 13 mm.</t>
  </si>
  <si>
    <t>Opaska identyfikacyjna dla dorosłych uniwersalna,  jednorazowego użytku, niesterylna, przeźroczysta, łatwa w zapinaniu, nierozpinająca się, pasek papieru na wpisanie danych identyfikacyjnych dorosłego o szerokości umożliwiającej wpisanie imienia i nazwiska, nr PESEL oraz daty i godziny, szer. min 20 mm .</t>
  </si>
  <si>
    <t>Zaciskacz do pępowiny, jednorazowego użytku, sterylny, wykonany z tworzywa sztucznego, wyposażony w zatrzask zabezpieczający przed przypadkowym otwarciem, opakowany jednostkowo.</t>
  </si>
  <si>
    <t>Rozcinacz zaciskacza do pępowiny, sterylny, ostrze rozcinające wykonane ze stali nierdzewnej, o bezpiecznej konstrukcji.</t>
  </si>
  <si>
    <t>Okulary do fototerapii noworodków, jednorazowego użytku, czyste medycznie, wykonane z delikatnego materiału, pokrytego wyściółką bawełnianą, zapinane na rzepy, wyposażone w dodatkowy pasek zabezpieczający przed zsuwaniem się okularów, dokładnie obejmujące główkę, długość od 30 do 35 cm, okulary w dwóch rozmiarach do 1500 g i powyżej 1500 g.</t>
  </si>
  <si>
    <t>szt</t>
  </si>
  <si>
    <t>op</t>
  </si>
  <si>
    <t xml:space="preserve">Dren do drenażu klatki piersiowej z PCV z trocarem tępym,  z nitką RTG, z oznaczeniem rozmiaru na drenie, łączniku i płaskim uchwycie trokara, podziałką co 2 cm i zabezpieczeniem opakowania przed przekłuciem Ch 16 – 36, sterylny. </t>
  </si>
  <si>
    <t>Cewnik do drenażu klatki piersiowej z PCV typ Thorax z nitką RTG, sterylny, pakowany  pojedynczo,  CH28-CH35.</t>
  </si>
  <si>
    <t>Thoakar do nakłucia opłucnej u noworodków z drenem, pakowany  pojedynczo, o rozmiarach 8F i długości 8 cm oraz 10 F i dł 8 cm.</t>
  </si>
  <si>
    <t>Trocar z cewnikiem CH8 i CH10, długość 25 cm, skalowany co 2 cm, linia radiacyjna (Rtg ).</t>
  </si>
  <si>
    <t>Zestaw laryngoskopowy – kompletny zestaw z łyżkami Mac Intosh nr 2,3,4 z wymiennymi światłowodami,światło standardowe 3,5V, futerał twardy, rękojeść z miejscem na akumulator litowo-jonowy.</t>
  </si>
  <si>
    <t>Zestaw laryngoskopowy z wymiennymi światłowodami,komplet łyżek 00; 0; 1;</t>
  </si>
  <si>
    <t>Żarówki do laryngoskopu typ RIESTER 3,5 V.</t>
  </si>
  <si>
    <t>Zestaw do drenażu opłucnej pediatryczny z możliwością zastosowania grawitacyjnego skalowania od 10 ml, poj 1900 ml, zastawka wodna, bezigłowy port do wypełniania komory  ssania.</t>
  </si>
  <si>
    <t>szt.</t>
  </si>
  <si>
    <t>Zamknięty System do pobierania próbek z drzewa oskrzelowego z próbówką 10ml, sterylny.</t>
  </si>
  <si>
    <t>Strzykawka do pompy Terumo 50/60ml. Podwójne uszczelnienie gumowe około 10mm, sterylna.</t>
  </si>
  <si>
    <t>Strzykawki do pomp infuzyjnych z poprzecznym rozmiarem na tłoku oraz 2 mm silikonowym oringiem uszczelniającym na tłoku 50 – 60 ml, sterylna.</t>
  </si>
  <si>
    <t>Skala wielorazowa do oznaczania OCŻ ze wskaźnikiem miejsca zerowego.</t>
  </si>
  <si>
    <t>Przyrząd uniwerslany Flocare do żywienia dojelitowego w wersji grawitacyjnej, do packa, sterylny.</t>
  </si>
  <si>
    <t>Przyrząd uniwersalny Flocare do żywienia jelitowego w wersji przy użyciu pompy Flocare 800 do paków, jednorazowego użytku, sterylny.</t>
  </si>
  <si>
    <t xml:space="preserve">Przyrząd uniwersalny do pompy Flocare Infinity Flocare – zestaw w wersji przy użyciu pompy Flocare Infinity do worków </t>
  </si>
  <si>
    <t>Zgłębnik poliuretanowy z  prowadnicą do żywienia dojelitowego Ch 10-14 typ Flocare, sterylny.</t>
  </si>
  <si>
    <t>Linia próbkująca do CO2 z końcówką Luer-Lock, sterylna.</t>
  </si>
  <si>
    <t>Elektrody EKG ze stałym żelem z włókniny lub taśmy mikroporowatej, z tarką do przygotowania naskórka o śr.55 mm.</t>
  </si>
  <si>
    <t xml:space="preserve">Elektrody endokawitarne do stymulacji przezskórnej, sterylna, rozmiar 6-7 Fr, długość całkowita 125 cm. </t>
  </si>
  <si>
    <t>Filtr wydechowy Bennet 740, kompatybilny z urządzeniem.</t>
  </si>
  <si>
    <t>Filtr wdechowy Bennet 740 kompatybilny z urządzeniem.</t>
  </si>
  <si>
    <t>Filtr wlotowy pneumatyki Bennet 740 a 6 szt. kompatybilny z urządzeniem.</t>
  </si>
  <si>
    <t>Filtr wentylatora chłodzącego Bennet 740 a 6 szt kompatybilny z urządzeniem.</t>
  </si>
  <si>
    <t>Filtr do nebulizatora, kompatybilny z urządzeniem.</t>
  </si>
  <si>
    <t>Filtr wydechowy do respiratora PURITAN BENNET 840, kompatybilny z urządzeniem.</t>
  </si>
  <si>
    <t>Zbiornik na skropliny z filtrem wydechowym respiratora PURITAN  BENNET 840, kompatybilny z urządzeniem.</t>
  </si>
  <si>
    <t>Łącznik prosty poszerzony balonowo służący do łączenia drenów, winylowy, sterylny, kompatybilny z urządzeniem.</t>
  </si>
  <si>
    <t>Rury silikonowe karbowane, o dł 110-130 cm o średnicy 22 mm, kompatybilne z urzadzeniem do sterylizacji parowej w temp. 134 C</t>
  </si>
  <si>
    <t>Pułapki wodne do układów oddechowych, kompatybilne z urządzeniem.</t>
  </si>
  <si>
    <t>Zbiornik na skropliny do respiratora Bennett 740, do sterylizacji  parowej w temp. 134 stopnie C , kompatybilny z urządzeniem Bennett740.</t>
  </si>
  <si>
    <t>Układ oddechowy do aparatu do znieczuleń dla dorosłych z rur gładkich, 3 rury, miękkie końcówki 22F, worek oddechowy 2l, rozgałęziacz Y, jednorazowy, sterylny.</t>
  </si>
  <si>
    <t>Zamknięty system do odsysania do rurek intubacyjnych CH14,16 i tracheostomijnych Ch 14,16 z możliwością stosowania min 48h, obrotowa zamykająca zastawka, możliwość wykonywania bronchoskopii  w układzie zamkniętym. 10Szt ampułek.</t>
  </si>
  <si>
    <t>Filtr oddechowy mechaniczny-filtr z wydzieloną warstwą wymiennika ciepła i wilgoci. Wydajność nawilżacza min. 32mgH2O/l. Powierzchnia filtra 190 cm, czas stosowania do 48 h, skuteczność filtracji bakterii i wirusów 99,999, utrata wilgoci nie większa niż 6 mg H2O/l..</t>
  </si>
  <si>
    <t>Termistor – kabel łączący  kardiomonitor firmy Datex Ohmeda z  sondami  temperatury.</t>
  </si>
  <si>
    <t>Cewnik Foleya wykonany ze 100% silikonu z sondą temperatury.</t>
  </si>
  <si>
    <t>Wymiennik ciepła i wilgoci HME ze złączem do podawania tlenu i portem do odsysania dla pacjentów oddychających samodzielnie.</t>
  </si>
  <si>
    <t xml:space="preserve">Wielorazowe, autoklawowalne nakładki - uchwyty do lamp operacyjnych. Kompatybilne z lampami operacyjnymi "MARLUX" X8/X6 producenta KLS MARTIN            </t>
  </si>
  <si>
    <t>Elektroda monopolarna do elektrokoagulacji wielorazowego użytku (nadająca się do sterylizacji), lancet kątowy, romboidalny 19 x 1,8 mm śr. 4 mm, R - 202 ,pasująca do aparatów EMED ES 350</t>
  </si>
  <si>
    <t>Elektroda monopolarna do elektrokoagulacji wielorazowego użytku (nadająca się do sterylizacji), lancet kątowy, romboidalny 25 x 3,5 mm śr. 4 mm, R - 201 ,pasująca do aparatów EMED ES 350</t>
  </si>
  <si>
    <t>Medyczne majtki jednorazowego użytku do kolonoskopii, wykonane z włókniny poliestrowej, miękkiej i przyjemnej w dotyku, mocowanie na gumkę. Rozmiar  M, L , XL, XXL</t>
  </si>
  <si>
    <t>Łącznik do układu oddechowego Y, wielokrotnego użytku.</t>
  </si>
  <si>
    <t>Zestaw do punkcji jamy opłucnowej zaopatrzony: w worek o pojemności 2000 ml z podziałką i zastawką antyzwrotną, kranikiem trójdrożnym, trzema igłami 14,16,19G dł.. 80mm oraz strzykawką 60 ml sterylny.</t>
  </si>
  <si>
    <t>Aparat do oznaczenia ośrodkowego ciśnienia żylnego, dł. drenu 180 cm, sterylne.</t>
  </si>
  <si>
    <t>Fartuch, spódnica 1x, z włókniny miękkiej, mocowanie na gumkę</t>
  </si>
  <si>
    <t>Szkiełka podstawowe, mikroskopowe, jednorazowego użytku, o grubości od 1mm do 1,2 mm, prostokątne, wymiary     25,4 x 76,2 mm. Z matowym brzegiem jednostronnym do oznaczenia szkiełka</t>
  </si>
  <si>
    <t xml:space="preserve">Trzykomorowy, sterylny zestaw do drenażu klatki piersiowej posiadający wydzieloną komorę zastawki podwodnej z barwnikiem, komorę na wydzielinę o pojemności 2150 ml, wydzieloną wodną komorę regulacji siły ssania z barwnikiem, zaworem i portem bezigłowym, posiadający automatyczną zastawkę zabezpieczającą przed wysokim dodatnim ciśnieniem oraz mechaniczną lub automatyczną zastawkę zabezpieczającą przed wysokim ciśnieniem ujemnym z filtrem. 
Zestaw przystosowany do pozyskiwania krwi do autotransfuzji poprzez wbudowany do komory kolekcyjnej filtr 200 mikronów oraz opcjonalnie podłączany do niej samonapełniający się sztywny pojemnik o objętości 800 ml, z wbudowanym filtrem 40 mikronów, służący później do transfuzji krwi. Zestaw ma być wyposażony w oddzielnie pakowany set do infuzji.  
Zestaw ma posiadać samouszczelniający port igłowy do pobierania próbek drenowanego płynu w wydzielonym miejscu – tuż przy drenie łączącym (zawsze świeży płyn do badań). Możliwość wyciszenia bez ingerencji w system centralnej próżni. </t>
  </si>
  <si>
    <t xml:space="preserve">Pułapki wodne do aparatu do znieczulenia Fabius Tiro  - Waterlock   </t>
  </si>
  <si>
    <t xml:space="preserve">Filtr bakteryjny , jednorazowego użytku do ssaków mocowanych przy aparatach do znieczulenia Fabius  </t>
  </si>
  <si>
    <t xml:space="preserve">Czujnik tlenu do aparatu do znieczulenia Fabius Tiro </t>
  </si>
  <si>
    <t>Pułapka wodna do monitora PM8000 Express MINDRAY</t>
  </si>
  <si>
    <t>Zbiornik na wydzieliny o pojemności 700ml kompatybilny z aparatem do znieczulenia Fabius Tiro , wielokrotnego użytku.</t>
  </si>
  <si>
    <t>Wielorazowy czujnik do saturacji dla noworodka z monitorem pacjenta IntelliVue MP30 firmy Philips</t>
  </si>
  <si>
    <t>Mankiet do mierzenia ciśnienia dla noworodków jednorazowego użytku kompatybilny z monitorem pacjenta IntelliVue MP30 firmy Philips rozmiar 2,3,4</t>
  </si>
  <si>
    <t>Sonda winylowa dla niemowląt i dzieci służąca do pomiaru temperatury ciała kompatybilna z monitorem pacjenta IntelliVue MP30 firmy Philips</t>
  </si>
  <si>
    <t>Kabel łączący do czujników Masimmo Typ LNCS kompatybilna z monitorem pacjenta IntelliVue MP30 firmy Philips</t>
  </si>
  <si>
    <t>Jednorazowy zestaw rur pacjenta z regulowaną zastawką wydechową karbowane, przeźroczyste, kompatybilne z urzadzeniem do resuscytacji TYP E</t>
  </si>
  <si>
    <t>Worek testowy do jednorazowego zestawu rur pacjenta kompatybilny z urządzeniem do resuscytacji TYP E</t>
  </si>
  <si>
    <t xml:space="preserve">Maska noworodkowa kompatybilna z zastawką wydechową rur pacjenta w urządzeniem do resuscytacji TYP E rozmiary 00,0,1 </t>
  </si>
  <si>
    <t>Czujnik saturacji uniwersalny dla noworodka i niemowlęcia jednorazowego użytku kompatybilny z pulsoksymetrem Palm care + firmy Bionics</t>
  </si>
  <si>
    <t>Śliska poduszka przeznaczona do przemieszczania unieruchomionych lub niepełnosprawnych pacjentów w łóżku oraz z łóżka na stołek lub wózek inwalidzki.
Część zewnętrzna z bawełny, część wewnętrzna z gładkiego 100% nylonu stosuje się z gładkim pokrowcem nylonowym.
Śliska poduszka uszyta jest w kształcie "rękawa".
Wypełniona jest samoukładającym się włóknem polyestrowym przeciwdziałającym powstawaniu odleżyn i dającym pacjentowi maksymalny komfort.
Wymiary: 50 x 60 cm.</t>
  </si>
  <si>
    <t>Myjka typu Manopla
Nasączona mydłem rękawica higieniczna, do użytku sanitarnego, jednorazowego użytku i biodegradowalna – gotowa do użycia od razu po wyjęciu z opakowania. Uwalnia swe higieniczne właściwości już przy kontakcie z niewielką ilością wody. Ergonomiczna budowa zapobiega zsunięciu się z ręki w trakcie używania. Możliwość stosowania u niemowląt.
Rękawica dzięki swojej jednorazowości radykalnie zmniejsza jakąkolwiek możliwość rozprzestrzeniania się infekcji, zapewniając jednocześnie efektywną higienę w wygodny i bezpieczny dla pacjenta sposób.
SKŁAD
wykonana z dwóch warstw
przednia: syntetyczne podkłady watolinowe + dermatologiczny środek myjący o pH 5.5
tylna: syntetyczne podkłady watolinowe
DANE
wymiary:
24,5 x 16,5 cm, grubość nie mniej niż 0,5 cm
wykonana z włókniny 100g/m2</t>
  </si>
  <si>
    <t xml:space="preserve">
Jednorazowa szczoteczka typu Dispomedic Scrub z chlorheksydyną
jest idealnym produktem do chirurgicznego mycia rąk i dezynfekcji –
zachowanie odpowiednich środków ostrożności i higieny przed operacją pacjenta oraz w strefach o wysokim stopniu ryzyka i bakterii. Anatomiczny kształt i odpowiednia elastyczność zapewnia większy komfort stosowania.
Używać tylko do nienaruszonej skóry.
SKŁAD
miękkie włosie: polietylen
gąbka: 100% pianka poliuretanowa
środek antyseptyczny: nasączona 4% roztworem glukonianu chlorheksydyny
komplet z pilniczkiem
DANE
wymiary: 80 x 50 x 40 mm (+/-2,5mm)</t>
  </si>
  <si>
    <t>*UWAGA - poz. 1 i 2 VAT 23%</t>
  </si>
  <si>
    <t xml:space="preserve">Dren (wąż) silikonowy do insuflatora CO2 - PG 080 firmy Aesculap, wielorazowy, autoklawowalny </t>
  </si>
  <si>
    <t xml:space="preserve">Zestaw drenów wielorazowych, z czujnikiem, autoklawowalnych do pompy ssąco-płuczącej wielospecjalistycznej PG 145 firmy Aesculap </t>
  </si>
  <si>
    <t>Dren do wytworzenia podciśnienia w pojemniku do odsysania, z filtrem, do podłączenia z pompą PG 145 firmy Aesculap a'10 szt</t>
  </si>
  <si>
    <t>Pojemnik jednorazowy plastikowy do odsysania, z pokrywą a'40 szt</t>
  </si>
  <si>
    <t>Samoogrzewający koc do okrywania pacjenta w trakcie zabiegu operacyjnego, jałowy, jednorazowego użytku, o wymiarach 150 x 100 cm (+/- 10 cm), pakowany próźniowo.</t>
  </si>
  <si>
    <t>Cewnik Foley trójdrożny CH -22, jednorazowego użytku, sterylny, pakowany pojedynczo, na opakowaniu widoczny rozmiar oraz data ważności, obustronnie silikonowany, opakowanie papierowo- foliowe</t>
  </si>
  <si>
    <t>Cewnik urologiczny Cuveliera CH - 22 jednorazowego użytku, sterylny, pakowany pojedynczo, na opakowaniu widoczny rozmiar oraz data ważności</t>
  </si>
  <si>
    <t>Golarka 1x jednoostrzowa, o szerokiej powierzchni golącej co najmniej 4 cm</t>
  </si>
  <si>
    <t>Cewnik do embolektomii, jednorazowego użytku, sterylny, rozmiar Ch5, Ch6 długość 800 mm, posiadający kod długości co 100 mm, koniec dystalny ślepo zakończony, posiadający balonik lateksowy o średnicy zewnętrznej 10 mm i 12 mm.</t>
  </si>
  <si>
    <t>Worki na wymiociny z plastikowym sztywnym  kołnierzem, pakowane pojedynczo</t>
  </si>
  <si>
    <t>Cewnik do embolektomii, jednorazowego użytku, sterylny, rozmiar Ch7, Ch 8 długość 800 mm, posiadający kod długości co 100 mm, koniec dystalny ślepo zakończony, posiadający balonik lateksowy o średnicy zewnętrznej 14 mm i 16 mm.</t>
  </si>
  <si>
    <t>Zestaw do wprowadzania protez średnicy 5 Fr. Wstępnie złożony zawierający: razem złożone i pakowane 1 cewnik teflonowy wprowadzający (wielorazowego użytku - autoklawowalny) i 1 popychacz (wielorazowego użytku); długość robocza 155 cm, minimalna średnica kanału roboczego 3,2 mm, kompatybilny z protezami 5 Fr, lub równoważny do wymienionych parametrów.</t>
  </si>
  <si>
    <t xml:space="preserve">Kaniula do wkłuć obwodowych wykonana z PTFE bez portu bocznego z integrowanym elementem na skrzydełkach ułatwiającym wprowadzanie kaniuli do naczynia , kolorowym oznaczeniem kaniuli, na opakowaniu jednostkowym fabrycznie nadrukowane prędkości przepływu i informacja na temat rozmiaru ( długość ,grubość) ,kaniula bez-lateksowa i bez PCV, pakowana w opakowania typu nierozrywalnego 24 G 0,7 x 19 mm i 26G 0,6 x 19 mm o przepływie 13 ml/min, sterylna
</t>
  </si>
  <si>
    <t>Cewnik do drenażu ran, przeźroczysty, wykonany z termoczułego PCV, budowa typu "dren w drenie", zaopatrzony w linię widoczną w promieniach RTG i otwory Sentinel, długość min. 30 cm, rozmiar od Ch24 do Ch40, jałowy, jednorazowego użytku.</t>
  </si>
  <si>
    <t xml:space="preserve">Kieliszki do leków jednorazowego użytku, wykonane z tworzywa sztucznego, przeźroczyste z wyraźnie oznaczoną skalą, ułatwiającą dokładne dawkowanie, pojemność min. 25ml, skala co 5 ml.
</t>
  </si>
  <si>
    <t xml:space="preserve">Jednorazowe nakładki - uchwyty na lampy operacyjne. Uniwersalne.            </t>
  </si>
  <si>
    <t>Trzonek do ostrzy chirurgicznych "małych" i "dużych", wielorazowego użytku, wykonany ze specjalnych stopów, pasujący do wszystkich standardowych ostrzy, stal nierdzewna.</t>
  </si>
  <si>
    <t>Miski nerkowate małe,  wykonane ze stali nierdzewnej,</t>
  </si>
  <si>
    <t>Miski nerkowate duże, wykonane ze stali nierdzewnej,</t>
  </si>
  <si>
    <t>Kuwety wykonane ze stali nierdzewnej w rozmiarze 20 cm x 30 cm,</t>
  </si>
  <si>
    <t>Nożyczki chirurgiczne  wykonane ze stali nierdzewnej,tępo/tępe lub tępo/ostre , proste lub zakrzywione o długości 130 – 210 mm. Wielorazowe, do sterylizacji parowej.</t>
  </si>
  <si>
    <t xml:space="preserve">Igłotrzymacz typu Hegar, długość 185 – 265 mm. Wielorazowe, ze stali nierdzewnej, do sterylizacji parowej. </t>
  </si>
  <si>
    <t xml:space="preserve">Igłotrzymacz typu Mathieu, długość 140 do 170 mm prosty. Wielorazowe, ze stali nierdzewnej, do sterylizacji parowej. </t>
  </si>
  <si>
    <t>Kleszczyki naczyniowy typu Pean /Overholt/, zakrzywiony, delikatnie zakończony, o długości 195 – 275 mm. Wielorazowy, ze stali nierdzewnej, do sterylizcji parowej.</t>
  </si>
  <si>
    <t>Igły chirurgiczne 3/8 koła, jelitowe i ostre, mocne i delikatne, w rozmiarach 30 – 80 mm. Wielorazowe, do sterylizacji parowej. Opakowanie 10 – 12 sztuk.</t>
  </si>
  <si>
    <t>Opakowanie ( po 10-12 sztuk )</t>
  </si>
  <si>
    <t>Szczoteczki do pobierania wymazu cytologicznego z części pochwowej szyjki macicy, z końcówką typu "miotełka"; szczoteczka płaska o wymiarach szerokość 2 cm, długość 1,5 cm, w części środkowej długość włosia ok. 3 cm, na prostokątnej podstawie 5mm x 20 mm. Konstrukcja i materiał, z którego wykonana jest szczoteczka pozwalają na bez-urazowe pobranie wymazu. Szczoteczka wykonana w całości z tworzywa. Pakowane pojedyńczo, sterylne.</t>
  </si>
  <si>
    <t>Wzierniki ginekologiczne, jednorazowego użytku, sterylne, wykonane z tworzywa sztucznego, atraumatyczne, rozmiar XS,S, M, L,</t>
  </si>
  <si>
    <t xml:space="preserve">Zatyczka na strzykawkę z złączem Luer damsko-męskim, do przygotowywania leków w strzykawkach, karbowana powierzchnia boczna umożliwiająca dokładne szczelne założenie ruchem obrotowym, sterylna
</t>
  </si>
  <si>
    <t>Strzykawka trzyczęściowa z gumowym tłokiem, do żywienia dojelitowego ze złączem Enlock, pojemność 60ml, skalowanie co 1 ml, fioletowy tłok, zabezpieczenie przed wysunięciem tłoka, sterylna</t>
  </si>
  <si>
    <t xml:space="preserve">PAKIET Nr 1– KANIULE NEONATOLOGICZNE        </t>
  </si>
  <si>
    <t>Kompletna tacka do drenażu opłucnowego z Trocarem z drenem przeznaczony dla neonatologii 8 F,długość 8 cm</t>
  </si>
  <si>
    <t>PAKIET Nr 2 -IGŁY BIOPSYJNE</t>
  </si>
  <si>
    <t>PAKIET Nr 3– CEWNIKI, DRENY</t>
  </si>
  <si>
    <t>PAKIET Nr 4- Dren do laparoskopii i artroskopii</t>
  </si>
  <si>
    <t>PAKIET Nr 5-  LARYNGOLOGIA TORBA NA WYDZIELINY</t>
  </si>
  <si>
    <t xml:space="preserve">PAKIET Nr 6 – APARATY    </t>
  </si>
  <si>
    <t>PAKIET Nr 7 –PASKI fluoresceinowe</t>
  </si>
  <si>
    <t>PAKIET Nr 8– Sztance biopsyjne</t>
  </si>
  <si>
    <t>PAKIET Nr 9 – FOTOTERAPIA</t>
  </si>
  <si>
    <t>PAKIET Nr 10 – BILIBETY</t>
  </si>
  <si>
    <t>PAKIET Nr 11– BADANIE SŁUCHU</t>
  </si>
  <si>
    <t>PAKIET Nr 12 – BADANIE SŁUCHU U NOWORODKÓW</t>
  </si>
  <si>
    <t xml:space="preserve">PAKIET Nr 13 – NARZĘDZIA ENDOSKOPOWE  A   </t>
  </si>
  <si>
    <t xml:space="preserve">PAKIET Nr 14 -  NARZĘDZIA ENDOSKOPOWE   B          </t>
  </si>
  <si>
    <t xml:space="preserve">PAKIET Nr 14 -  NARZĘDZIA ENDOSKOPOWE   C         </t>
  </si>
  <si>
    <t xml:space="preserve">PAKIET Nr 15 -  NARZĘDZIA ENDOSKOPOWE   D     </t>
  </si>
  <si>
    <t xml:space="preserve">PAKIET Nr 16 -  NARZĘDZIA ENDOSKOPOWE   E     </t>
  </si>
  <si>
    <t xml:space="preserve">PAKIET Nr 17 -  NARZĘDZIA ENDOSKOPOWE   F   </t>
  </si>
  <si>
    <t xml:space="preserve">PAKIET Nr 18 – SPRZĘT RÓŻNY       </t>
  </si>
  <si>
    <t>PAKIET Nr 19 – SPRZĘT RÓŻNY</t>
  </si>
  <si>
    <t>PAKIET Nr 20 – SPRZĘT RÓŻNY</t>
  </si>
  <si>
    <t>PAKIET Nr 21 - Filtry</t>
  </si>
  <si>
    <t xml:space="preserve">PAKIET nr 22 - AKCESORIA DO INKUBATORA do Air Shields       </t>
  </si>
  <si>
    <t xml:space="preserve">PAKIET nr 23 - AKCESORIA DO INKUBATORA do Air Shields       </t>
  </si>
  <si>
    <t xml:space="preserve">PAKIET Nr 24– KOŁNIERZ  Schantza     </t>
  </si>
  <si>
    <t>PAKIET Nr 25 – AKCESORIA DO ELEKTROCHIRURGII   - do waporyzatora</t>
  </si>
  <si>
    <t>PAKIET Nr 26 – OPASKA DO PULSOKSYMETRU</t>
  </si>
  <si>
    <t xml:space="preserve">PAKIET NR 27 – SPRZĘT ORTOPEDYCZNY   </t>
  </si>
  <si>
    <t>PAKIET Nr 28- RĘKAWICE</t>
  </si>
  <si>
    <t>PAKIET Nr 29 -SPRZĘT HIGIENICZNO SANITARNY DLA PACJENTÓW</t>
  </si>
  <si>
    <t>PAKIET Nr 30 – Balon bakri</t>
  </si>
  <si>
    <t>PAKIET Nr 31 NOWORODKI</t>
  </si>
  <si>
    <t>Pakiet Nr 32 – Sprzęt do użytku w Oddziale Anestezjologi i Intensywnej Terapii oraz w Oddziale Neonatologicznym</t>
  </si>
  <si>
    <t>Pakiet Nr 33 – Sprzęt do użytku w Oddziale Anestezjologi i Intensywnej Terapii oraz w Oddziale Neonatologicznym</t>
  </si>
  <si>
    <t>Pakiet Nr 34 – Sprzęt do użytku w Oddziale Anestezjologi i Intensywnej Terapii oraz w Oddziale Neonatologicznym</t>
  </si>
  <si>
    <t>Pakiet Nr 35 – Sprzęt do użytku w Oddziale Anestezjologi i Intensywnej Terapii oraz w Oddziale Neonatologicznym</t>
  </si>
  <si>
    <t>PAKIET  Nr 36 -UCHWYTY DO LAMP</t>
  </si>
  <si>
    <t xml:space="preserve">PAKIET Nr 37 – AKCESORIA DO ELEKTROCHIRURGII   </t>
  </si>
  <si>
    <t>PAKIET Nr 38 – akcesoria do monitorem pacjenta IntelliVue MP30 firmy Philips</t>
  </si>
  <si>
    <t>PAKIET Nr 39 – akcesoria do urzadzeniem do resuscytacji TYP E</t>
  </si>
  <si>
    <t>PAKIET Nr 40– MAJTKI DO KOLONOSKOPII</t>
  </si>
  <si>
    <t xml:space="preserve"> PAKIET NR 41 - akcesora do aparatu do znieczulenia Fabius Tiro  - Waterlock   </t>
  </si>
  <si>
    <t>PAKIET Nr 42 – Czujnik do saturacji dla noworodka</t>
  </si>
  <si>
    <t>PAKIET Nr 43 – Śliska poduszka</t>
  </si>
  <si>
    <t>PAKIET Nr 44 – Myjka typu Manopla, szczotka 1x</t>
  </si>
  <si>
    <t xml:space="preserve">PAKIET Nr 45 – Samoogrzewający koc </t>
  </si>
  <si>
    <t xml:space="preserve">PAKIET Nr 46– DROBNY SPRZĘT MEDYCZNY    </t>
  </si>
  <si>
    <t xml:space="preserve">PAKIET Nr 47– DROBNY SPRZĘT MEDYCZNY  </t>
  </si>
  <si>
    <t xml:space="preserve">PAKIET Nr 48 – SZCZOTECZKI CYTOLOGICZNE, WZIERNIKI   </t>
  </si>
  <si>
    <t xml:space="preserve">PAKIET Nr 49 – Zatyczki, Strzykawki </t>
  </si>
  <si>
    <t>PAKIET Nr 50 – Kompletna tacka do drenażu opłucnowego z Trocarem</t>
  </si>
</sst>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0.00&quot; zł&quot;;[Red]\-#,##0.00&quot; zł&quot;"/>
    <numFmt numFmtId="166" formatCode="#,##0.00&quot; zł&quot;"/>
    <numFmt numFmtId="167" formatCode="d/mm/yyyy"/>
    <numFmt numFmtId="168" formatCode="#,##0.00&quot;     &quot;"/>
    <numFmt numFmtId="169" formatCode="\ #,##0.00&quot; zł &quot;;\-#,##0.00&quot; zł &quot;;&quot; -&quot;#&quot; zł &quot;;@\ "/>
    <numFmt numFmtId="170" formatCode="_-* #,##0.00\ _z_ł_-;\-* #,##0.00\ _z_ł_-;_-* \-??\ _z_ł_-;_-@_-"/>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_ ;\-#,##0.00\ "/>
    <numFmt numFmtId="176" formatCode="0.00_ ;\-0.00\ "/>
    <numFmt numFmtId="177" formatCode="[$-415]d\ mmmm\ yyyy"/>
    <numFmt numFmtId="178" formatCode="#,##0.00_ ;[Red]\-#,##0.00\ "/>
  </numFmts>
  <fonts count="46">
    <font>
      <sz val="11"/>
      <color indexed="8"/>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b/>
      <i/>
      <sz val="16"/>
      <color indexed="8"/>
      <name val="Arial CE"/>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name val="MS Sans Serif"/>
      <family val="2"/>
    </font>
    <font>
      <b/>
      <sz val="11"/>
      <color indexed="52"/>
      <name val="Czcionka tekstu podstawowego"/>
      <family val="2"/>
    </font>
    <font>
      <b/>
      <i/>
      <u val="single"/>
      <sz val="11"/>
      <color indexed="8"/>
      <name val="Arial CE"/>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color indexed="8"/>
      <name val="Times New Roman"/>
      <family val="1"/>
    </font>
    <font>
      <b/>
      <sz val="11"/>
      <color indexed="8"/>
      <name val="Calibri"/>
      <family val="2"/>
    </font>
    <font>
      <sz val="9"/>
      <color indexed="8"/>
      <name val="Calibri"/>
      <family val="2"/>
    </font>
    <font>
      <b/>
      <sz val="9"/>
      <color indexed="8"/>
      <name val="Calibri"/>
      <family val="2"/>
    </font>
    <font>
      <b/>
      <sz val="10"/>
      <color indexed="8"/>
      <name val="Calibri"/>
      <family val="2"/>
    </font>
    <font>
      <sz val="10"/>
      <color indexed="8"/>
      <name val="Calibri"/>
      <family val="2"/>
    </font>
    <font>
      <sz val="11"/>
      <color indexed="8"/>
      <name val="Calibri"/>
      <family val="2"/>
    </font>
    <font>
      <sz val="11"/>
      <color indexed="8"/>
      <name val="Times New Roman"/>
      <family val="1"/>
    </font>
    <font>
      <sz val="10"/>
      <name val="Calibri"/>
      <family val="2"/>
    </font>
    <font>
      <b/>
      <sz val="9"/>
      <color indexed="8"/>
      <name val="Times New Roman"/>
      <family val="1"/>
    </font>
    <font>
      <b/>
      <sz val="9"/>
      <color indexed="10"/>
      <name val="Calibri"/>
      <family val="2"/>
    </font>
    <font>
      <b/>
      <sz val="10"/>
      <name val="Calibri"/>
      <family val="2"/>
    </font>
    <font>
      <sz val="8"/>
      <color indexed="8"/>
      <name val="Calibri"/>
      <family val="2"/>
    </font>
    <font>
      <b/>
      <sz val="11"/>
      <color indexed="10"/>
      <name val="Calibri"/>
      <family val="2"/>
    </font>
    <font>
      <sz val="9"/>
      <color indexed="8"/>
      <name val="Arial"/>
      <family val="2"/>
    </font>
    <font>
      <b/>
      <u val="single"/>
      <sz val="9"/>
      <color indexed="8"/>
      <name val="Calibri"/>
      <family val="2"/>
    </font>
    <font>
      <vertAlign val="superscript"/>
      <sz val="10"/>
      <color indexed="8"/>
      <name val="Calibri"/>
      <family val="2"/>
    </font>
    <font>
      <b/>
      <sz val="9"/>
      <color indexed="9"/>
      <name val="Times New Roman"/>
      <family val="1"/>
    </font>
    <font>
      <u val="single"/>
      <sz val="11"/>
      <color indexed="12"/>
      <name val="Arial CE"/>
      <family val="2"/>
    </font>
    <font>
      <u val="single"/>
      <sz val="11"/>
      <color indexed="20"/>
      <name val="Arial CE"/>
      <family val="2"/>
    </font>
    <font>
      <u val="single"/>
      <sz val="11"/>
      <color theme="10"/>
      <name val="Arial CE"/>
      <family val="2"/>
    </font>
    <font>
      <u val="single"/>
      <sz val="11"/>
      <color theme="11"/>
      <name val="Arial CE"/>
      <family val="2"/>
    </font>
    <font>
      <sz val="10"/>
      <color theme="1"/>
      <name val="Calibri"/>
      <family val="2"/>
    </font>
    <font>
      <b/>
      <sz val="11"/>
      <color theme="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24997000396251678"/>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62"/>
      </bottom>
    </border>
    <border>
      <left>
        <color indexed="63"/>
      </left>
      <right>
        <color indexed="63"/>
      </right>
      <top>
        <color indexed="63"/>
      </top>
      <bottom style="thin">
        <color indexed="22"/>
      </bottom>
    </border>
    <border>
      <left>
        <color indexed="63"/>
      </left>
      <right>
        <color indexed="63"/>
      </right>
      <top>
        <color indexed="63"/>
      </top>
      <bottom style="thin">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color indexed="63"/>
      </left>
      <right style="hair">
        <color indexed="8"/>
      </right>
      <top style="hair">
        <color indexed="8"/>
      </top>
      <bottom>
        <color indexed="63"/>
      </bottom>
    </border>
    <border>
      <left>
        <color indexed="63"/>
      </left>
      <right style="hair">
        <color indexed="8"/>
      </right>
      <top>
        <color indexed="63"/>
      </top>
      <bottom style="hair">
        <color indexed="8"/>
      </bottom>
    </border>
    <border>
      <left style="thin"/>
      <right style="thin"/>
      <top style="thin"/>
      <bottom style="thin"/>
    </border>
    <border>
      <left style="hair"/>
      <right style="hair"/>
      <top style="hair"/>
      <bottom style="hair"/>
    </border>
    <border>
      <left>
        <color indexed="63"/>
      </left>
      <right>
        <color indexed="63"/>
      </right>
      <top>
        <color indexed="63"/>
      </top>
      <bottom style="hair">
        <color indexed="8"/>
      </bottom>
    </border>
    <border>
      <left style="hair">
        <color indexed="8"/>
      </left>
      <right>
        <color indexed="63"/>
      </right>
      <top>
        <color indexed="63"/>
      </top>
      <bottom style="hair">
        <color indexed="8"/>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2" fillId="2" borderId="0" applyNumberFormat="0" applyBorder="0" applyAlignment="0" applyProtection="0"/>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textRotation="90"/>
    </xf>
    <xf numFmtId="0" fontId="7" fillId="0" borderId="0" applyNumberFormat="0" applyBorder="0" applyProtection="0">
      <alignment horizontal="center" textRotation="90"/>
    </xf>
    <xf numFmtId="0" fontId="42" fillId="0" borderId="0" applyNumberForma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14" fillId="0" borderId="0">
      <alignment/>
      <protection/>
    </xf>
    <xf numFmtId="0" fontId="15" fillId="20" borderId="1" applyNumberFormat="0" applyAlignment="0" applyProtection="0"/>
    <xf numFmtId="0" fontId="43" fillId="0" borderId="0" applyNumberFormat="0" applyFill="0" applyBorder="0" applyAlignment="0" applyProtection="0"/>
    <xf numFmtId="9" fontId="1" fillId="0" borderId="0" applyFill="0" applyBorder="0" applyAlignment="0" applyProtection="0"/>
    <xf numFmtId="0" fontId="16" fillId="0" borderId="0" applyNumberFormat="0" applyBorder="0" applyProtection="0">
      <alignment/>
    </xf>
    <xf numFmtId="0" fontId="16" fillId="0" borderId="0" applyNumberFormat="0" applyBorder="0" applyProtection="0">
      <alignment/>
    </xf>
    <xf numFmtId="164" fontId="16" fillId="0" borderId="0" applyBorder="0" applyProtection="0">
      <alignment/>
    </xf>
    <xf numFmtId="164" fontId="16" fillId="0" borderId="0" applyBorder="0" applyProtection="0">
      <alignment/>
    </xf>
    <xf numFmtId="0" fontId="17" fillId="0" borderId="8"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23" borderId="9" applyNumberFormat="0" applyAlignment="0" applyProtection="0"/>
    <xf numFmtId="169" fontId="1" fillId="0" borderId="0" applyFill="0" applyBorder="0" applyAlignment="0" applyProtection="0"/>
    <xf numFmtId="42" fontId="1" fillId="0" borderId="0" applyFill="0" applyBorder="0" applyAlignment="0" applyProtection="0"/>
    <xf numFmtId="0" fontId="21" fillId="3" borderId="0" applyNumberFormat="0" applyBorder="0" applyAlignment="0" applyProtection="0"/>
  </cellStyleXfs>
  <cellXfs count="346">
    <xf numFmtId="0" fontId="0" fillId="0" borderId="0" xfId="0" applyAlignment="1">
      <alignment/>
    </xf>
    <xf numFmtId="0" fontId="22"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wrapText="1"/>
    </xf>
    <xf numFmtId="0" fontId="24"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vertical="center" wrapText="1"/>
    </xf>
    <xf numFmtId="0" fontId="25" fillId="20" borderId="10" xfId="0" applyFont="1" applyFill="1" applyBorder="1" applyAlignment="1">
      <alignment horizontal="center" vertical="center" wrapText="1"/>
    </xf>
    <xf numFmtId="49" fontId="25" fillId="20" borderId="10" xfId="0" applyNumberFormat="1" applyFont="1" applyFill="1" applyBorder="1" applyAlignment="1">
      <alignment horizontal="center" vertical="center" wrapText="1"/>
    </xf>
    <xf numFmtId="0" fontId="26" fillId="24" borderId="10" xfId="0" applyFont="1" applyFill="1" applyBorder="1" applyAlignment="1">
      <alignment horizontal="center" vertical="center"/>
    </xf>
    <xf numFmtId="0" fontId="27" fillId="0" borderId="10" xfId="0" applyFont="1" applyBorder="1" applyAlignment="1">
      <alignment vertical="center" wrapText="1"/>
    </xf>
    <xf numFmtId="0" fontId="27" fillId="0" borderId="10" xfId="0" applyFont="1" applyBorder="1" applyAlignment="1">
      <alignment horizontal="center" vertical="center"/>
    </xf>
    <xf numFmtId="165" fontId="27" fillId="24" borderId="10" xfId="0" applyNumberFormat="1" applyFont="1" applyFill="1" applyBorder="1" applyAlignment="1">
      <alignment horizontal="center" vertical="center"/>
    </xf>
    <xf numFmtId="9" fontId="27" fillId="0" borderId="10" xfId="0" applyNumberFormat="1" applyFont="1" applyBorder="1" applyAlignment="1">
      <alignment horizontal="center" vertical="center"/>
    </xf>
    <xf numFmtId="0" fontId="27" fillId="0" borderId="10" xfId="0" applyFont="1" applyBorder="1" applyAlignment="1">
      <alignment horizontal="center" vertical="center" wrapText="1"/>
    </xf>
    <xf numFmtId="0" fontId="25" fillId="24" borderId="10" xfId="0" applyFont="1" applyFill="1" applyBorder="1" applyAlignment="1">
      <alignment horizontal="center" vertical="center" wrapText="1"/>
    </xf>
    <xf numFmtId="0" fontId="25" fillId="24" borderId="10" xfId="0" applyFont="1" applyFill="1" applyBorder="1" applyAlignment="1">
      <alignment horizontal="center" vertical="center"/>
    </xf>
    <xf numFmtId="0" fontId="25" fillId="24" borderId="10" xfId="0" applyFont="1" applyFill="1" applyBorder="1" applyAlignment="1">
      <alignment vertical="center"/>
    </xf>
    <xf numFmtId="165" fontId="25" fillId="24" borderId="10" xfId="0" applyNumberFormat="1" applyFont="1" applyFill="1" applyBorder="1" applyAlignment="1">
      <alignment horizontal="center" vertical="center"/>
    </xf>
    <xf numFmtId="0" fontId="25"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165" fontId="25" fillId="0" borderId="0" xfId="0" applyNumberFormat="1" applyFont="1" applyFill="1" applyBorder="1" applyAlignment="1">
      <alignment horizontal="center" vertical="center"/>
    </xf>
    <xf numFmtId="0" fontId="24" fillId="0" borderId="0" xfId="0" applyFont="1" applyBorder="1" applyAlignment="1">
      <alignment horizontal="center" vertical="center"/>
    </xf>
    <xf numFmtId="0" fontId="26" fillId="24" borderId="10" xfId="0" applyFont="1" applyFill="1" applyBorder="1" applyAlignment="1">
      <alignment vertical="center"/>
    </xf>
    <xf numFmtId="10" fontId="26" fillId="24" borderId="10" xfId="0" applyNumberFormat="1" applyFont="1" applyFill="1" applyBorder="1" applyAlignment="1">
      <alignment vertical="center"/>
    </xf>
    <xf numFmtId="0" fontId="23" fillId="0" borderId="0" xfId="0" applyFont="1" applyAlignment="1">
      <alignment vertical="center"/>
    </xf>
    <xf numFmtId="0" fontId="25" fillId="0" borderId="0" xfId="0" applyFont="1" applyAlignment="1">
      <alignment vertical="center"/>
    </xf>
    <xf numFmtId="0" fontId="26" fillId="20" borderId="10" xfId="0" applyFont="1" applyFill="1" applyBorder="1" applyAlignment="1">
      <alignment horizontal="center" vertical="center" wrapText="1"/>
    </xf>
    <xf numFmtId="0" fontId="26" fillId="20" borderId="11" xfId="0" applyFont="1" applyFill="1" applyBorder="1" applyAlignment="1">
      <alignment horizontal="center" vertical="center" wrapText="1"/>
    </xf>
    <xf numFmtId="49" fontId="26" fillId="20" borderId="10" xfId="0" applyNumberFormat="1" applyFont="1" applyFill="1" applyBorder="1" applyAlignment="1">
      <alignment horizontal="center" vertical="center" wrapText="1"/>
    </xf>
    <xf numFmtId="0" fontId="26" fillId="24" borderId="10" xfId="0" applyFont="1" applyFill="1" applyBorder="1" applyAlignment="1">
      <alignment horizontal="center" vertical="center" wrapText="1"/>
    </xf>
    <xf numFmtId="0" fontId="27" fillId="0" borderId="10" xfId="0" applyFont="1" applyBorder="1" applyAlignment="1">
      <alignment horizontal="left" vertical="center" wrapText="1" readingOrder="1"/>
    </xf>
    <xf numFmtId="0" fontId="27" fillId="0" borderId="12" xfId="0" applyFont="1" applyBorder="1" applyAlignment="1">
      <alignment horizontal="center" vertical="center" wrapText="1"/>
    </xf>
    <xf numFmtId="166" fontId="24" fillId="24" borderId="10" xfId="0" applyNumberFormat="1" applyFont="1" applyFill="1" applyBorder="1" applyAlignment="1">
      <alignment horizontal="center" vertical="center" wrapText="1"/>
    </xf>
    <xf numFmtId="9" fontId="24" fillId="24" borderId="10" xfId="0" applyNumberFormat="1"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7" fillId="24" borderId="13" xfId="0" applyFont="1" applyFill="1" applyBorder="1" applyAlignment="1">
      <alignment horizontal="center" vertical="center" wrapText="1"/>
    </xf>
    <xf numFmtId="0" fontId="27" fillId="24" borderId="10" xfId="0" applyFont="1" applyFill="1" applyBorder="1" applyAlignment="1">
      <alignment horizontal="center" vertical="center" wrapText="1"/>
    </xf>
    <xf numFmtId="0" fontId="26" fillId="24" borderId="12" xfId="0" applyFont="1" applyFill="1" applyBorder="1" applyAlignment="1">
      <alignment vertical="center"/>
    </xf>
    <xf numFmtId="10" fontId="25" fillId="24" borderId="10" xfId="0" applyNumberFormat="1" applyFont="1" applyFill="1" applyBorder="1" applyAlignment="1">
      <alignment vertical="center"/>
    </xf>
    <xf numFmtId="0" fontId="26" fillId="24" borderId="13" xfId="0" applyFont="1" applyFill="1" applyBorder="1" applyAlignment="1">
      <alignment vertical="center"/>
    </xf>
    <xf numFmtId="0" fontId="25" fillId="0" borderId="0" xfId="0" applyFont="1" applyBorder="1" applyAlignment="1">
      <alignment vertical="center"/>
    </xf>
    <xf numFmtId="0" fontId="25" fillId="0" borderId="0" xfId="0" applyFont="1" applyBorder="1" applyAlignment="1">
      <alignment horizontal="center" vertical="center"/>
    </xf>
    <xf numFmtId="0" fontId="26" fillId="20" borderId="10" xfId="57" applyFont="1" applyFill="1" applyBorder="1" applyAlignment="1">
      <alignment horizontal="center" vertical="center" wrapText="1"/>
      <protection/>
    </xf>
    <xf numFmtId="49" fontId="26" fillId="20" borderId="10" xfId="57" applyNumberFormat="1" applyFont="1" applyFill="1" applyBorder="1" applyAlignment="1">
      <alignment horizontal="center" vertical="center" wrapText="1"/>
      <protection/>
    </xf>
    <xf numFmtId="0" fontId="26" fillId="0" borderId="10" xfId="57" applyFont="1" applyFill="1" applyBorder="1" applyAlignment="1">
      <alignment horizontal="center" vertical="center"/>
      <protection/>
    </xf>
    <xf numFmtId="0" fontId="27" fillId="0" borderId="10" xfId="57" applyFont="1" applyFill="1" applyBorder="1" applyAlignment="1">
      <alignment horizontal="left" vertical="center" wrapText="1" readingOrder="1"/>
      <protection/>
    </xf>
    <xf numFmtId="0" fontId="27" fillId="0" borderId="10" xfId="57" applyFont="1" applyFill="1" applyBorder="1" applyAlignment="1">
      <alignment horizontal="center" vertical="center" wrapText="1"/>
      <protection/>
    </xf>
    <xf numFmtId="0" fontId="26" fillId="0" borderId="10" xfId="57" applyFont="1" applyFill="1" applyBorder="1" applyAlignment="1">
      <alignment vertical="center"/>
      <protection/>
    </xf>
    <xf numFmtId="10" fontId="26" fillId="0" borderId="10" xfId="57" applyNumberFormat="1" applyFont="1" applyFill="1" applyBorder="1" applyAlignment="1">
      <alignment vertical="center"/>
      <protection/>
    </xf>
    <xf numFmtId="0" fontId="28" fillId="0" borderId="0" xfId="0" applyFont="1" applyFill="1" applyAlignment="1">
      <alignment/>
    </xf>
    <xf numFmtId="0" fontId="24" fillId="0" borderId="0" xfId="57" applyFont="1" applyFill="1" applyBorder="1" applyAlignment="1">
      <alignment horizontal="center" vertical="center"/>
      <protection/>
    </xf>
    <xf numFmtId="0" fontId="28" fillId="0" borderId="0" xfId="0" applyFont="1" applyAlignment="1">
      <alignment horizontal="center" vertical="center"/>
    </xf>
    <xf numFmtId="0" fontId="24" fillId="0" borderId="0" xfId="0" applyFont="1" applyBorder="1" applyAlignment="1">
      <alignment horizontal="right" vertical="center"/>
    </xf>
    <xf numFmtId="0" fontId="28" fillId="0" borderId="0" xfId="0" applyFont="1" applyAlignment="1">
      <alignment vertical="center"/>
    </xf>
    <xf numFmtId="0" fontId="28" fillId="0" borderId="0" xfId="0" applyFont="1" applyAlignment="1">
      <alignment horizontal="center" vertical="center" wrapText="1"/>
    </xf>
    <xf numFmtId="0" fontId="29" fillId="0" borderId="0" xfId="0" applyFont="1" applyAlignment="1">
      <alignment vertical="center"/>
    </xf>
    <xf numFmtId="0" fontId="24" fillId="0" borderId="0" xfId="0" applyFont="1" applyAlignment="1">
      <alignment horizontal="center" vertical="center" wrapText="1"/>
    </xf>
    <xf numFmtId="0" fontId="30" fillId="0" borderId="10" xfId="0" applyFont="1" applyBorder="1" applyAlignment="1">
      <alignment vertical="center" wrapText="1"/>
    </xf>
    <xf numFmtId="0" fontId="27" fillId="24" borderId="10" xfId="0" applyFont="1" applyFill="1" applyBorder="1" applyAlignment="1">
      <alignment vertical="center" wrapText="1"/>
    </xf>
    <xf numFmtId="0" fontId="24" fillId="0" borderId="10" xfId="0" applyFont="1" applyBorder="1" applyAlignment="1">
      <alignment horizontal="center" vertical="center" wrapText="1"/>
    </xf>
    <xf numFmtId="0" fontId="24" fillId="0" borderId="10" xfId="0" applyFont="1" applyBorder="1" applyAlignment="1">
      <alignment horizontal="center" vertical="center"/>
    </xf>
    <xf numFmtId="0" fontId="24" fillId="24" borderId="10" xfId="0" applyFont="1" applyFill="1" applyBorder="1" applyAlignment="1">
      <alignment horizontal="center" vertical="center"/>
    </xf>
    <xf numFmtId="0" fontId="31" fillId="0" borderId="0" xfId="0" applyFont="1" applyAlignment="1">
      <alignment vertical="center"/>
    </xf>
    <xf numFmtId="0" fontId="24" fillId="0" borderId="0" xfId="0" applyFont="1" applyFill="1" applyBorder="1" applyAlignment="1">
      <alignment horizontal="center" vertical="center"/>
    </xf>
    <xf numFmtId="0" fontId="23" fillId="0" borderId="0" xfId="57" applyFont="1" applyFill="1" applyAlignment="1">
      <alignment vertical="center"/>
      <protection/>
    </xf>
    <xf numFmtId="0" fontId="28" fillId="0" borderId="0" xfId="57" applyFont="1" applyFill="1">
      <alignment/>
      <protection/>
    </xf>
    <xf numFmtId="0" fontId="24" fillId="0" borderId="0" xfId="57" applyFont="1" applyFill="1" applyAlignment="1">
      <alignment horizontal="center" vertical="center"/>
      <protection/>
    </xf>
    <xf numFmtId="0" fontId="24" fillId="0" borderId="0" xfId="57" applyFont="1" applyFill="1" applyAlignment="1">
      <alignment vertical="center"/>
      <protection/>
    </xf>
    <xf numFmtId="0" fontId="26" fillId="20" borderId="11" xfId="57" applyFont="1" applyFill="1" applyBorder="1" applyAlignment="1">
      <alignment horizontal="center" vertical="center" wrapText="1"/>
      <protection/>
    </xf>
    <xf numFmtId="0" fontId="26" fillId="0" borderId="10" xfId="57" applyFont="1" applyFill="1" applyBorder="1" applyAlignment="1">
      <alignment horizontal="center" vertical="center" wrapText="1"/>
      <protection/>
    </xf>
    <xf numFmtId="0" fontId="27" fillId="0" borderId="10" xfId="57" applyFont="1" applyFill="1" applyBorder="1" applyAlignment="1">
      <alignment vertical="center" wrapText="1"/>
      <protection/>
    </xf>
    <xf numFmtId="0" fontId="27" fillId="0" borderId="12" xfId="57" applyFont="1" applyFill="1" applyBorder="1" applyAlignment="1">
      <alignment horizontal="center" vertical="center" wrapText="1"/>
      <protection/>
    </xf>
    <xf numFmtId="0" fontId="26" fillId="0" borderId="12" xfId="57" applyFont="1" applyFill="1" applyBorder="1" applyAlignment="1">
      <alignment vertical="center"/>
      <protection/>
    </xf>
    <xf numFmtId="4" fontId="26" fillId="0" borderId="10" xfId="57" applyNumberFormat="1" applyFont="1" applyFill="1" applyBorder="1" applyAlignment="1">
      <alignment horizontal="right" vertical="center"/>
      <protection/>
    </xf>
    <xf numFmtId="0" fontId="27" fillId="0" borderId="13" xfId="0" applyFont="1" applyBorder="1" applyAlignment="1">
      <alignment horizontal="center" vertical="center"/>
    </xf>
    <xf numFmtId="0" fontId="27" fillId="24" borderId="10" xfId="0" applyFont="1" applyFill="1" applyBorder="1" applyAlignment="1">
      <alignment vertical="center"/>
    </xf>
    <xf numFmtId="0" fontId="24" fillId="24" borderId="10" xfId="0" applyFont="1" applyFill="1" applyBorder="1" applyAlignment="1">
      <alignment vertical="center"/>
    </xf>
    <xf numFmtId="10" fontId="24" fillId="24" borderId="10" xfId="0" applyNumberFormat="1" applyFont="1" applyFill="1" applyBorder="1" applyAlignment="1">
      <alignment vertical="center"/>
    </xf>
    <xf numFmtId="0" fontId="26" fillId="24" borderId="10" xfId="0" applyNumberFormat="1" applyFont="1" applyFill="1" applyBorder="1" applyAlignment="1">
      <alignment horizontal="center" vertical="center" wrapText="1"/>
    </xf>
    <xf numFmtId="0" fontId="24" fillId="0" borderId="0" xfId="0" applyFont="1" applyBorder="1" applyAlignment="1">
      <alignment vertical="center"/>
    </xf>
    <xf numFmtId="0" fontId="32" fillId="0" borderId="0" xfId="0" applyFont="1" applyAlignment="1">
      <alignment horizontal="center" vertical="center"/>
    </xf>
    <xf numFmtId="0" fontId="27" fillId="24" borderId="10" xfId="0" applyFont="1" applyFill="1" applyBorder="1" applyAlignment="1">
      <alignment horizontal="center" vertical="center"/>
    </xf>
    <xf numFmtId="0" fontId="27" fillId="0" borderId="10" xfId="0" applyFont="1" applyFill="1" applyBorder="1" applyAlignment="1">
      <alignment horizontal="left" vertical="center" wrapText="1"/>
    </xf>
    <xf numFmtId="0" fontId="27"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0" fontId="28" fillId="0" borderId="0" xfId="57" applyFont="1" applyFill="1" applyAlignment="1">
      <alignment vertical="center"/>
      <protection/>
    </xf>
    <xf numFmtId="9" fontId="27" fillId="0" borderId="10" xfId="0" applyNumberFormat="1" applyFont="1" applyBorder="1" applyAlignment="1">
      <alignment horizontal="center" vertical="center" wrapText="1"/>
    </xf>
    <xf numFmtId="0" fontId="34" fillId="0" borderId="10" xfId="0" applyFont="1" applyBorder="1" applyAlignment="1">
      <alignment horizontal="center" vertical="center" wrapText="1"/>
    </xf>
    <xf numFmtId="10" fontId="25" fillId="0" borderId="0" xfId="0" applyNumberFormat="1" applyFont="1" applyFill="1" applyBorder="1" applyAlignment="1">
      <alignment vertical="center"/>
    </xf>
    <xf numFmtId="9" fontId="24" fillId="0" borderId="10" xfId="0" applyNumberFormat="1" applyFont="1" applyBorder="1" applyAlignment="1">
      <alignment horizontal="center" vertical="center"/>
    </xf>
    <xf numFmtId="0" fontId="27" fillId="0" borderId="10" xfId="0" applyFont="1" applyBorder="1" applyAlignment="1">
      <alignment horizontal="left" vertical="center" wrapText="1"/>
    </xf>
    <xf numFmtId="10" fontId="26" fillId="24" borderId="10" xfId="0" applyNumberFormat="1" applyFont="1" applyFill="1" applyBorder="1" applyAlignment="1">
      <alignment horizontal="center" vertical="center"/>
    </xf>
    <xf numFmtId="9" fontId="27" fillId="24" borderId="10" xfId="0" applyNumberFormat="1" applyFont="1" applyFill="1" applyBorder="1" applyAlignment="1">
      <alignment horizontal="center" vertical="center" wrapText="1"/>
    </xf>
    <xf numFmtId="0" fontId="27" fillId="0" borderId="10" xfId="0" applyFont="1" applyFill="1" applyBorder="1" applyAlignment="1">
      <alignment vertical="center" wrapText="1"/>
    </xf>
    <xf numFmtId="0" fontId="25" fillId="0" borderId="0" xfId="0" applyFont="1" applyFill="1" applyAlignment="1">
      <alignment horizontal="center" vertical="center" wrapText="1"/>
    </xf>
    <xf numFmtId="0" fontId="35" fillId="0" borderId="0" xfId="0" applyFont="1" applyAlignment="1">
      <alignment horizontal="center" vertical="center"/>
    </xf>
    <xf numFmtId="0" fontId="27" fillId="24" borderId="10" xfId="0" applyFont="1" applyFill="1" applyBorder="1" applyAlignment="1">
      <alignment horizontal="left" vertical="center" wrapText="1"/>
    </xf>
    <xf numFmtId="0" fontId="30" fillId="0" borderId="10" xfId="0" applyFont="1" applyFill="1" applyBorder="1" applyAlignment="1">
      <alignment vertical="center" wrapText="1"/>
    </xf>
    <xf numFmtId="0" fontId="32" fillId="0" borderId="0" xfId="57" applyFont="1" applyFill="1" applyAlignment="1">
      <alignment horizontal="center" vertical="center"/>
      <protection/>
    </xf>
    <xf numFmtId="0" fontId="27" fillId="0" borderId="10" xfId="57" applyFont="1" applyFill="1" applyBorder="1" applyAlignment="1">
      <alignment horizontal="left" vertical="center" wrapText="1"/>
      <protection/>
    </xf>
    <xf numFmtId="0" fontId="27" fillId="0" borderId="12" xfId="57" applyFont="1" applyFill="1" applyBorder="1" applyAlignment="1">
      <alignment horizontal="center" vertical="center"/>
      <protection/>
    </xf>
    <xf numFmtId="9" fontId="24" fillId="0" borderId="10" xfId="57" applyNumberFormat="1" applyFont="1" applyFill="1" applyBorder="1" applyAlignment="1">
      <alignment horizontal="center" vertical="center"/>
      <protection/>
    </xf>
    <xf numFmtId="0" fontId="25" fillId="0" borderId="10" xfId="57" applyFont="1" applyFill="1" applyBorder="1" applyAlignment="1">
      <alignment vertical="center"/>
      <protection/>
    </xf>
    <xf numFmtId="10" fontId="25" fillId="0" borderId="10" xfId="57" applyNumberFormat="1" applyFont="1" applyFill="1" applyBorder="1" applyAlignment="1">
      <alignment vertical="center"/>
      <protection/>
    </xf>
    <xf numFmtId="0" fontId="25" fillId="0" borderId="14" xfId="57" applyFont="1" applyFill="1" applyBorder="1" applyAlignment="1">
      <alignment vertical="center"/>
      <protection/>
    </xf>
    <xf numFmtId="0" fontId="24" fillId="0" borderId="13" xfId="0" applyFont="1" applyBorder="1" applyAlignment="1">
      <alignment horizontal="center" vertical="center"/>
    </xf>
    <xf numFmtId="0" fontId="32" fillId="0" borderId="0" xfId="0" applyFont="1" applyAlignment="1">
      <alignment vertical="center"/>
    </xf>
    <xf numFmtId="10" fontId="27" fillId="0" borderId="10" xfId="0" applyNumberFormat="1" applyFont="1" applyBorder="1" applyAlignment="1">
      <alignment vertical="center" wrapText="1"/>
    </xf>
    <xf numFmtId="0" fontId="25" fillId="24" borderId="10" xfId="0" applyFont="1" applyFill="1" applyBorder="1" applyAlignment="1">
      <alignment horizontal="left" vertical="center"/>
    </xf>
    <xf numFmtId="10" fontId="25" fillId="24" borderId="10" xfId="0" applyNumberFormat="1" applyFont="1" applyFill="1" applyBorder="1" applyAlignment="1">
      <alignment horizontal="left" vertical="center"/>
    </xf>
    <xf numFmtId="0" fontId="27" fillId="0" borderId="0" xfId="0" applyFont="1" applyBorder="1" applyAlignment="1">
      <alignment vertical="center" wrapText="1"/>
    </xf>
    <xf numFmtId="0" fontId="26"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0" xfId="0" applyFont="1" applyFill="1" applyBorder="1" applyAlignment="1">
      <alignment vertical="center"/>
    </xf>
    <xf numFmtId="165" fontId="26" fillId="0" borderId="0" xfId="0" applyNumberFormat="1" applyFont="1" applyFill="1" applyBorder="1" applyAlignment="1">
      <alignment horizontal="center" vertical="center"/>
    </xf>
    <xf numFmtId="0" fontId="35" fillId="0" borderId="0" xfId="0" applyFont="1" applyAlignment="1">
      <alignment vertical="center"/>
    </xf>
    <xf numFmtId="0" fontId="26" fillId="20" borderId="15" xfId="0" applyFont="1" applyFill="1" applyBorder="1" applyAlignment="1">
      <alignment horizontal="center" vertical="center" wrapText="1"/>
    </xf>
    <xf numFmtId="49" fontId="26" fillId="20" borderId="11" xfId="0" applyNumberFormat="1" applyFont="1" applyFill="1" applyBorder="1" applyAlignment="1">
      <alignment horizontal="center" vertical="center" wrapText="1"/>
    </xf>
    <xf numFmtId="0" fontId="27" fillId="0" borderId="13" xfId="0" applyFont="1" applyBorder="1" applyAlignment="1">
      <alignment vertical="center" wrapText="1"/>
    </xf>
    <xf numFmtId="0" fontId="36" fillId="0" borderId="0" xfId="0" applyFont="1" applyAlignment="1">
      <alignment vertical="center"/>
    </xf>
    <xf numFmtId="0" fontId="27" fillId="0" borderId="16" xfId="0" applyNumberFormat="1" applyFont="1" applyBorder="1" applyAlignment="1">
      <alignment vertical="center" wrapText="1"/>
    </xf>
    <xf numFmtId="0" fontId="27" fillId="0" borderId="14" xfId="0" applyFont="1" applyBorder="1" applyAlignment="1">
      <alignment horizontal="center" vertical="center" wrapText="1"/>
    </xf>
    <xf numFmtId="166" fontId="27" fillId="24" borderId="14" xfId="0" applyNumberFormat="1" applyFont="1" applyFill="1" applyBorder="1" applyAlignment="1">
      <alignment horizontal="center" vertical="center" wrapText="1"/>
    </xf>
    <xf numFmtId="9" fontId="27" fillId="24" borderId="14" xfId="0" applyNumberFormat="1" applyFont="1" applyFill="1" applyBorder="1" applyAlignment="1">
      <alignment horizontal="center" vertical="center" wrapText="1"/>
    </xf>
    <xf numFmtId="0" fontId="27" fillId="24" borderId="14" xfId="0" applyFont="1" applyFill="1" applyBorder="1" applyAlignment="1">
      <alignment horizontal="center" vertical="center" wrapText="1"/>
    </xf>
    <xf numFmtId="0" fontId="26" fillId="24" borderId="13" xfId="0" applyFont="1" applyFill="1" applyBorder="1" applyAlignment="1">
      <alignment horizontal="center" vertical="center"/>
    </xf>
    <xf numFmtId="0" fontId="37" fillId="0" borderId="0" xfId="0" applyFont="1" applyBorder="1" applyAlignment="1">
      <alignment vertical="center"/>
    </xf>
    <xf numFmtId="0" fontId="26" fillId="24" borderId="10" xfId="0" applyFont="1" applyFill="1" applyBorder="1" applyAlignment="1">
      <alignment horizontal="center" vertical="center" wrapText="1" readingOrder="1"/>
    </xf>
    <xf numFmtId="0" fontId="27" fillId="0" borderId="10" xfId="0" applyFont="1" applyBorder="1" applyAlignment="1">
      <alignment horizontal="center" vertical="center" wrapText="1" readingOrder="1"/>
    </xf>
    <xf numFmtId="0" fontId="27" fillId="24" borderId="10" xfId="0" applyFont="1" applyFill="1" applyBorder="1" applyAlignment="1">
      <alignment horizontal="left" vertical="center" wrapText="1" readingOrder="1"/>
    </xf>
    <xf numFmtId="0" fontId="27" fillId="24" borderId="10" xfId="0" applyFont="1" applyFill="1" applyBorder="1" applyAlignment="1">
      <alignment horizontal="center" vertical="center" wrapText="1" readingOrder="1"/>
    </xf>
    <xf numFmtId="0" fontId="37" fillId="24" borderId="10" xfId="0" applyFont="1" applyFill="1" applyBorder="1" applyAlignment="1">
      <alignment vertical="center"/>
    </xf>
    <xf numFmtId="0" fontId="26" fillId="0" borderId="10" xfId="57" applyFont="1" applyFill="1" applyBorder="1" applyAlignment="1">
      <alignment horizontal="center" vertical="center" wrapText="1" readingOrder="1"/>
      <protection/>
    </xf>
    <xf numFmtId="0" fontId="27" fillId="0" borderId="10" xfId="57" applyFont="1" applyFill="1" applyBorder="1" applyAlignment="1">
      <alignment horizontal="center" vertical="center" wrapText="1" readingOrder="1"/>
      <protection/>
    </xf>
    <xf numFmtId="0" fontId="24" fillId="0" borderId="10" xfId="57" applyFont="1" applyFill="1" applyBorder="1" applyAlignment="1">
      <alignment horizontal="center" vertical="center"/>
      <protection/>
    </xf>
    <xf numFmtId="0" fontId="24" fillId="0" borderId="10" xfId="57" applyFont="1" applyFill="1" applyBorder="1" applyAlignment="1">
      <alignment vertical="center"/>
      <protection/>
    </xf>
    <xf numFmtId="0" fontId="37" fillId="0" borderId="10" xfId="57" applyFont="1" applyFill="1" applyBorder="1" applyAlignment="1">
      <alignment vertical="center"/>
      <protection/>
    </xf>
    <xf numFmtId="0" fontId="30" fillId="0" borderId="10" xfId="0" applyFont="1" applyFill="1" applyBorder="1" applyAlignment="1">
      <alignment horizontal="left" vertical="center" wrapText="1"/>
    </xf>
    <xf numFmtId="0" fontId="27" fillId="0" borderId="11" xfId="0" applyFont="1" applyBorder="1" applyAlignment="1">
      <alignment horizontal="center" vertical="center" wrapText="1"/>
    </xf>
    <xf numFmtId="0" fontId="27" fillId="24" borderId="11" xfId="0" applyFont="1" applyFill="1" applyBorder="1" applyAlignment="1">
      <alignment horizontal="center" vertical="center" wrapText="1"/>
    </xf>
    <xf numFmtId="0" fontId="27" fillId="0" borderId="0" xfId="0" applyFont="1" applyBorder="1" applyAlignment="1">
      <alignment horizontal="center" vertical="center" wrapText="1"/>
    </xf>
    <xf numFmtId="166" fontId="24" fillId="24" borderId="0" xfId="0" applyNumberFormat="1" applyFont="1" applyFill="1" applyBorder="1" applyAlignment="1">
      <alignment horizontal="center" vertical="center" wrapText="1"/>
    </xf>
    <xf numFmtId="9" fontId="24" fillId="24" borderId="0" xfId="0" applyNumberFormat="1" applyFont="1" applyFill="1" applyBorder="1" applyAlignment="1">
      <alignment horizontal="center" vertical="center" wrapText="1"/>
    </xf>
    <xf numFmtId="0" fontId="24" fillId="24" borderId="0" xfId="0" applyFont="1" applyFill="1" applyBorder="1" applyAlignment="1">
      <alignment horizontal="center" vertical="center" wrapText="1"/>
    </xf>
    <xf numFmtId="0" fontId="27" fillId="24" borderId="0" xfId="0" applyFont="1" applyFill="1" applyBorder="1" applyAlignment="1">
      <alignment horizontal="center" vertical="center" wrapText="1"/>
    </xf>
    <xf numFmtId="9" fontId="27" fillId="0" borderId="10" xfId="57" applyNumberFormat="1" applyFont="1" applyFill="1" applyBorder="1" applyAlignment="1">
      <alignment horizontal="center" vertical="center" wrapText="1"/>
      <protection/>
    </xf>
    <xf numFmtId="0" fontId="27" fillId="0" borderId="10" xfId="58" applyNumberFormat="1" applyFont="1" applyFill="1" applyBorder="1" applyAlignment="1" applyProtection="1">
      <alignment horizontal="left" vertical="center" wrapText="1"/>
      <protection/>
    </xf>
    <xf numFmtId="0" fontId="27" fillId="0" borderId="10" xfId="58" applyNumberFormat="1" applyFont="1" applyFill="1" applyBorder="1" applyAlignment="1" applyProtection="1">
      <alignment horizontal="center" vertical="center" wrapText="1"/>
      <protection/>
    </xf>
    <xf numFmtId="3" fontId="27" fillId="0" borderId="10" xfId="58" applyNumberFormat="1" applyFont="1" applyFill="1" applyBorder="1" applyAlignment="1" applyProtection="1">
      <alignment horizontal="center" vertical="center" wrapText="1"/>
      <protection/>
    </xf>
    <xf numFmtId="2" fontId="27" fillId="0" borderId="10" xfId="58" applyNumberFormat="1" applyFont="1" applyFill="1" applyBorder="1" applyAlignment="1" applyProtection="1">
      <alignment horizontal="center" vertical="center" wrapText="1"/>
      <protection/>
    </xf>
    <xf numFmtId="9" fontId="27" fillId="0" borderId="10" xfId="61" applyFont="1" applyFill="1" applyBorder="1" applyAlignment="1" applyProtection="1">
      <alignment horizontal="center" vertical="center"/>
      <protection/>
    </xf>
    <xf numFmtId="0" fontId="27" fillId="0" borderId="10" xfId="58" applyNumberFormat="1" applyFont="1" applyFill="1" applyBorder="1" applyAlignment="1" applyProtection="1">
      <alignment wrapText="1"/>
      <protection/>
    </xf>
    <xf numFmtId="0" fontId="35" fillId="0" borderId="0" xfId="57" applyFont="1" applyFill="1" applyAlignment="1">
      <alignment horizontal="center" vertical="center"/>
      <protection/>
    </xf>
    <xf numFmtId="0" fontId="28" fillId="0" borderId="0" xfId="57" applyFont="1" applyFill="1" applyAlignment="1">
      <alignment horizontal="center" vertical="center"/>
      <protection/>
    </xf>
    <xf numFmtId="0" fontId="27" fillId="24" borderId="12" xfId="0" applyFont="1" applyFill="1" applyBorder="1" applyAlignment="1">
      <alignment horizontal="center" vertical="center" wrapText="1"/>
    </xf>
    <xf numFmtId="10" fontId="25" fillId="0" borderId="0" xfId="0" applyNumberFormat="1" applyFont="1" applyFill="1" applyBorder="1" applyAlignment="1">
      <alignment horizontal="center" vertical="center"/>
    </xf>
    <xf numFmtId="0" fontId="39" fillId="24" borderId="0" xfId="0" applyFont="1" applyFill="1" applyAlignment="1">
      <alignment vertical="center"/>
    </xf>
    <xf numFmtId="0" fontId="26" fillId="24" borderId="12" xfId="0" applyFont="1" applyFill="1" applyBorder="1" applyAlignment="1">
      <alignment horizontal="center" vertical="center"/>
    </xf>
    <xf numFmtId="10" fontId="25" fillId="24" borderId="10" xfId="0" applyNumberFormat="1" applyFont="1" applyFill="1" applyBorder="1" applyAlignment="1">
      <alignment horizontal="center" vertical="center"/>
    </xf>
    <xf numFmtId="0" fontId="30" fillId="0" borderId="10" xfId="0" applyFont="1" applyBorder="1" applyAlignment="1">
      <alignment horizontal="left" vertical="center" wrapText="1"/>
    </xf>
    <xf numFmtId="0" fontId="25" fillId="20" borderId="11" xfId="0" applyFont="1" applyFill="1" applyBorder="1" applyAlignment="1">
      <alignment horizontal="center" vertical="center" wrapText="1"/>
    </xf>
    <xf numFmtId="0" fontId="24" fillId="0" borderId="10" xfId="0" applyFont="1" applyBorder="1" applyAlignment="1">
      <alignment horizontal="left" vertical="center" wrapText="1"/>
    </xf>
    <xf numFmtId="0" fontId="24" fillId="0" borderId="12" xfId="0" applyFont="1" applyBorder="1" applyAlignment="1">
      <alignment horizontal="center" vertical="center"/>
    </xf>
    <xf numFmtId="0" fontId="25" fillId="24" borderId="12" xfId="0" applyFont="1" applyFill="1" applyBorder="1" applyAlignment="1">
      <alignment horizontal="center" vertical="center"/>
    </xf>
    <xf numFmtId="0" fontId="25" fillId="24" borderId="13" xfId="0" applyFont="1" applyFill="1" applyBorder="1" applyAlignment="1">
      <alignment horizontal="center" vertical="center"/>
    </xf>
    <xf numFmtId="10" fontId="27" fillId="24" borderId="10" xfId="0" applyNumberFormat="1" applyFont="1" applyFill="1" applyBorder="1" applyAlignment="1">
      <alignment vertical="center"/>
    </xf>
    <xf numFmtId="0" fontId="26" fillId="20" borderId="10" xfId="0" applyFont="1" applyFill="1" applyBorder="1" applyAlignment="1">
      <alignment vertical="center" wrapText="1"/>
    </xf>
    <xf numFmtId="0" fontId="31" fillId="0" borderId="0" xfId="0" applyFont="1" applyAlignment="1">
      <alignment vertical="center" wrapText="1"/>
    </xf>
    <xf numFmtId="0" fontId="24" fillId="0" borderId="0" xfId="0" applyFont="1" applyAlignment="1">
      <alignment/>
    </xf>
    <xf numFmtId="165" fontId="22" fillId="24" borderId="0" xfId="0" applyNumberFormat="1" applyFont="1" applyFill="1" applyBorder="1" applyAlignment="1">
      <alignment horizontal="center" vertical="center" wrapText="1"/>
    </xf>
    <xf numFmtId="165" fontId="22" fillId="0" borderId="0" xfId="0" applyNumberFormat="1" applyFont="1" applyBorder="1" applyAlignment="1">
      <alignment horizontal="center" vertical="center"/>
    </xf>
    <xf numFmtId="0" fontId="22" fillId="0" borderId="0" xfId="0" applyFont="1" applyBorder="1" applyAlignment="1">
      <alignment horizontal="center" vertical="center"/>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0" fontId="33" fillId="24" borderId="10" xfId="58" applyNumberFormat="1" applyFont="1" applyFill="1" applyBorder="1" applyAlignment="1" applyProtection="1">
      <alignment horizontal="center" vertical="center"/>
      <protection/>
    </xf>
    <xf numFmtId="0" fontId="30" fillId="0" borderId="10" xfId="58" applyNumberFormat="1" applyFont="1" applyFill="1" applyBorder="1" applyAlignment="1" applyProtection="1">
      <alignment horizontal="left" vertical="center" wrapText="1"/>
      <protection/>
    </xf>
    <xf numFmtId="0" fontId="30" fillId="0" borderId="10" xfId="58" applyNumberFormat="1" applyFont="1" applyFill="1" applyBorder="1" applyAlignment="1" applyProtection="1">
      <alignment horizontal="center" vertical="center"/>
      <protection/>
    </xf>
    <xf numFmtId="9" fontId="30" fillId="0" borderId="10" xfId="61" applyFont="1" applyFill="1" applyBorder="1" applyAlignment="1" applyProtection="1">
      <alignment horizontal="center" vertical="center"/>
      <protection/>
    </xf>
    <xf numFmtId="0" fontId="30" fillId="0" borderId="10" xfId="58" applyNumberFormat="1" applyFont="1" applyFill="1" applyBorder="1" applyAlignment="1" applyProtection="1">
      <alignment horizontal="center" vertical="center" wrapText="1"/>
      <protection/>
    </xf>
    <xf numFmtId="0" fontId="30" fillId="0" borderId="10" xfId="58" applyNumberFormat="1" applyFont="1" applyFill="1" applyBorder="1" applyAlignment="1" applyProtection="1">
      <alignment wrapText="1"/>
      <protection/>
    </xf>
    <xf numFmtId="0" fontId="33" fillId="0" borderId="0" xfId="58" applyNumberFormat="1" applyFont="1" applyFill="1" applyBorder="1" applyAlignment="1" applyProtection="1">
      <alignment horizontal="center" vertical="center"/>
      <protection/>
    </xf>
    <xf numFmtId="0" fontId="30" fillId="0" borderId="0" xfId="58" applyNumberFormat="1" applyFont="1" applyFill="1" applyBorder="1" applyAlignment="1" applyProtection="1">
      <alignment horizontal="center" vertical="center"/>
      <protection/>
    </xf>
    <xf numFmtId="9" fontId="30" fillId="0" borderId="0" xfId="58" applyNumberFormat="1" applyFont="1" applyFill="1" applyBorder="1" applyAlignment="1" applyProtection="1">
      <alignment horizontal="center" vertical="center"/>
      <protection/>
    </xf>
    <xf numFmtId="0" fontId="30" fillId="0" borderId="0" xfId="58" applyNumberFormat="1" applyFont="1" applyFill="1" applyBorder="1" applyAlignment="1" applyProtection="1">
      <alignment horizontal="center"/>
      <protection/>
    </xf>
    <xf numFmtId="0" fontId="26" fillId="24" borderId="10" xfId="58" applyNumberFormat="1" applyFont="1" applyFill="1" applyBorder="1" applyAlignment="1" applyProtection="1">
      <alignment horizontal="center" vertical="center"/>
      <protection/>
    </xf>
    <xf numFmtId="9" fontId="27" fillId="0" borderId="10" xfId="61" applyFont="1" applyFill="1" applyBorder="1" applyAlignment="1" applyProtection="1">
      <alignment horizontal="center" vertical="center" wrapText="1"/>
      <protection/>
    </xf>
    <xf numFmtId="0" fontId="27" fillId="0" borderId="10" xfId="0" applyNumberFormat="1" applyFont="1" applyFill="1" applyBorder="1" applyAlignment="1" applyProtection="1">
      <alignment vertical="center" wrapText="1"/>
      <protection/>
    </xf>
    <xf numFmtId="0" fontId="27" fillId="0" borderId="10" xfId="58" applyNumberFormat="1" applyFont="1" applyFill="1" applyBorder="1" applyAlignment="1" applyProtection="1">
      <alignment vertical="center" wrapText="1"/>
      <protection/>
    </xf>
    <xf numFmtId="0" fontId="30" fillId="0" borderId="10" xfId="0" applyNumberFormat="1" applyFont="1" applyFill="1" applyBorder="1" applyAlignment="1" applyProtection="1">
      <alignment vertical="center" wrapText="1"/>
      <protection/>
    </xf>
    <xf numFmtId="2" fontId="30" fillId="0" borderId="10" xfId="58" applyNumberFormat="1" applyFont="1" applyFill="1" applyBorder="1" applyAlignment="1" applyProtection="1">
      <alignment horizontal="center" vertical="center" wrapText="1"/>
      <protection/>
    </xf>
    <xf numFmtId="9" fontId="30" fillId="0" borderId="10" xfId="61" applyFont="1" applyFill="1" applyBorder="1" applyAlignment="1" applyProtection="1">
      <alignment horizontal="center" vertical="center" wrapText="1"/>
      <protection/>
    </xf>
    <xf numFmtId="0" fontId="30" fillId="0" borderId="10" xfId="58" applyNumberFormat="1" applyFont="1" applyFill="1" applyBorder="1" applyAlignment="1" applyProtection="1">
      <alignment vertical="center" wrapText="1"/>
      <protection/>
    </xf>
    <xf numFmtId="169" fontId="33" fillId="24" borderId="10" xfId="71" applyFont="1" applyFill="1" applyBorder="1" applyAlignment="1" applyProtection="1">
      <alignment horizontal="center"/>
      <protection/>
    </xf>
    <xf numFmtId="0" fontId="33" fillId="24" borderId="10" xfId="0" applyFont="1" applyFill="1" applyBorder="1" applyAlignment="1" applyProtection="1">
      <alignment horizontal="center"/>
      <protection/>
    </xf>
    <xf numFmtId="0" fontId="30" fillId="0" borderId="0" xfId="58" applyNumberFormat="1" applyFont="1" applyFill="1" applyBorder="1" applyAlignment="1" applyProtection="1">
      <alignment horizontal="center" vertical="center" wrapText="1"/>
      <protection/>
    </xf>
    <xf numFmtId="0" fontId="30" fillId="0" borderId="0" xfId="58" applyNumberFormat="1" applyFont="1" applyFill="1" applyBorder="1" applyAlignment="1" applyProtection="1">
      <alignment/>
      <protection/>
    </xf>
    <xf numFmtId="169" fontId="33" fillId="0" borderId="0" xfId="71" applyFont="1" applyFill="1" applyBorder="1" applyAlignment="1" applyProtection="1">
      <alignment horizontal="center"/>
      <protection/>
    </xf>
    <xf numFmtId="2" fontId="33" fillId="0" borderId="0" xfId="58" applyNumberFormat="1" applyFont="1" applyFill="1" applyBorder="1" applyAlignment="1" applyProtection="1">
      <alignment horizontal="center"/>
      <protection/>
    </xf>
    <xf numFmtId="3" fontId="30" fillId="0" borderId="10" xfId="58" applyNumberFormat="1" applyFont="1" applyFill="1" applyBorder="1" applyAlignment="1" applyProtection="1">
      <alignment horizontal="center" vertical="center" wrapText="1"/>
      <protection/>
    </xf>
    <xf numFmtId="169" fontId="33" fillId="24" borderId="10" xfId="71" applyFont="1" applyFill="1" applyBorder="1" applyAlignment="1" applyProtection="1">
      <alignment/>
      <protection/>
    </xf>
    <xf numFmtId="0" fontId="33" fillId="24" borderId="10" xfId="0" applyFont="1" applyFill="1" applyBorder="1" applyAlignment="1" applyProtection="1">
      <alignment/>
      <protection/>
    </xf>
    <xf numFmtId="0" fontId="30" fillId="0" borderId="0" xfId="58" applyNumberFormat="1" applyFont="1" applyFill="1" applyBorder="1" applyAlignment="1" applyProtection="1">
      <alignment horizontal="right"/>
      <protection/>
    </xf>
    <xf numFmtId="0" fontId="33" fillId="24" borderId="10" xfId="0" applyFont="1" applyFill="1" applyBorder="1" applyAlignment="1">
      <alignment horizontal="center" vertical="center" wrapText="1"/>
    </xf>
    <xf numFmtId="0" fontId="30" fillId="0" borderId="10" xfId="0" applyNumberFormat="1" applyFont="1" applyFill="1" applyBorder="1" applyAlignment="1" applyProtection="1">
      <alignment horizontal="left" vertical="center" wrapText="1"/>
      <protection/>
    </xf>
    <xf numFmtId="0" fontId="30" fillId="0" borderId="10" xfId="0" applyNumberFormat="1" applyFont="1" applyFill="1" applyBorder="1" applyAlignment="1" applyProtection="1">
      <alignment horizontal="center" vertical="center" wrapText="1"/>
      <protection/>
    </xf>
    <xf numFmtId="3" fontId="30" fillId="0" borderId="10" xfId="0" applyNumberFormat="1" applyFont="1" applyFill="1" applyBorder="1" applyAlignment="1" applyProtection="1">
      <alignment horizontal="center" vertical="center" wrapText="1"/>
      <protection/>
    </xf>
    <xf numFmtId="2" fontId="30" fillId="0" borderId="10" xfId="71" applyNumberFormat="1" applyFont="1" applyFill="1" applyBorder="1" applyAlignment="1" applyProtection="1">
      <alignment horizontal="center" vertical="center"/>
      <protection/>
    </xf>
    <xf numFmtId="0" fontId="30" fillId="0" borderId="10" xfId="0" applyNumberFormat="1" applyFont="1" applyFill="1" applyBorder="1" applyAlignment="1" applyProtection="1">
      <alignment/>
      <protection/>
    </xf>
    <xf numFmtId="0" fontId="30" fillId="0" borderId="10" xfId="0" applyFont="1" applyBorder="1" applyAlignment="1">
      <alignment/>
    </xf>
    <xf numFmtId="3" fontId="27" fillId="0" borderId="10" xfId="0" applyNumberFormat="1" applyFont="1" applyFill="1" applyBorder="1" applyAlignment="1" applyProtection="1">
      <alignment horizontal="center" vertical="center" wrapText="1"/>
      <protection/>
    </xf>
    <xf numFmtId="0" fontId="27" fillId="0" borderId="10" xfId="0" applyNumberFormat="1" applyFont="1" applyFill="1" applyBorder="1" applyAlignment="1" applyProtection="1">
      <alignment/>
      <protection/>
    </xf>
    <xf numFmtId="0" fontId="33" fillId="24" borderId="10" xfId="0" applyNumberFormat="1" applyFont="1" applyFill="1" applyBorder="1" applyAlignment="1" applyProtection="1">
      <alignment horizontal="center" vertical="center"/>
      <protection/>
    </xf>
    <xf numFmtId="2" fontId="33" fillId="24" borderId="10" xfId="0" applyNumberFormat="1" applyFont="1" applyFill="1" applyBorder="1" applyAlignment="1" applyProtection="1">
      <alignment horizontal="center"/>
      <protection/>
    </xf>
    <xf numFmtId="2" fontId="33" fillId="24" borderId="10" xfId="0" applyNumberFormat="1" applyFont="1" applyFill="1" applyBorder="1" applyAlignment="1" applyProtection="1">
      <alignment/>
      <protection/>
    </xf>
    <xf numFmtId="0" fontId="27" fillId="0" borderId="0" xfId="0" applyFont="1" applyAlignment="1">
      <alignment/>
    </xf>
    <xf numFmtId="0" fontId="30" fillId="0" borderId="0" xfId="0" applyNumberFormat="1" applyFont="1" applyFill="1" applyBorder="1" applyAlignment="1" applyProtection="1">
      <alignment/>
      <protection/>
    </xf>
    <xf numFmtId="0" fontId="30" fillId="0" borderId="0" xfId="0" applyNumberFormat="1" applyFont="1" applyFill="1" applyBorder="1" applyAlignment="1" applyProtection="1">
      <alignment horizontal="center"/>
      <protection/>
    </xf>
    <xf numFmtId="0" fontId="30" fillId="0" borderId="10" xfId="0" applyNumberFormat="1" applyFont="1" applyFill="1" applyBorder="1" applyAlignment="1" applyProtection="1">
      <alignment horizontal="center" vertical="center"/>
      <protection/>
    </xf>
    <xf numFmtId="0" fontId="27" fillId="0" borderId="0" xfId="0" applyFont="1" applyAlignment="1">
      <alignment horizontal="center"/>
    </xf>
    <xf numFmtId="0" fontId="27" fillId="0" borderId="0" xfId="0" applyFont="1" applyFill="1" applyAlignment="1">
      <alignment/>
    </xf>
    <xf numFmtId="0" fontId="27" fillId="0" borderId="10" xfId="57" applyFont="1" applyFill="1" applyBorder="1" applyAlignment="1">
      <alignment vertical="center"/>
      <protection/>
    </xf>
    <xf numFmtId="10" fontId="27" fillId="0" borderId="10" xfId="57" applyNumberFormat="1" applyFont="1" applyFill="1" applyBorder="1" applyAlignment="1">
      <alignment vertical="center"/>
      <protection/>
    </xf>
    <xf numFmtId="0" fontId="27" fillId="0" borderId="0" xfId="0" applyFont="1" applyFill="1" applyAlignment="1">
      <alignment horizontal="left" vertical="top" wrapText="1"/>
    </xf>
    <xf numFmtId="10" fontId="26" fillId="0" borderId="10" xfId="57" applyNumberFormat="1" applyFont="1" applyFill="1" applyBorder="1" applyAlignment="1">
      <alignment horizontal="center" vertical="center"/>
      <protection/>
    </xf>
    <xf numFmtId="0" fontId="25" fillId="0" borderId="0" xfId="57" applyFont="1" applyFill="1" applyBorder="1" applyAlignment="1">
      <alignment horizontal="center" vertical="center" wrapText="1"/>
      <protection/>
    </xf>
    <xf numFmtId="0" fontId="25" fillId="0" borderId="0" xfId="57" applyFont="1" applyFill="1" applyBorder="1" applyAlignment="1">
      <alignment horizontal="center" vertical="center"/>
      <protection/>
    </xf>
    <xf numFmtId="165" fontId="25" fillId="0" borderId="0" xfId="57" applyNumberFormat="1" applyFont="1" applyFill="1" applyBorder="1" applyAlignment="1">
      <alignment horizontal="center" vertical="center"/>
      <protection/>
    </xf>
    <xf numFmtId="10" fontId="25" fillId="0" borderId="0" xfId="57" applyNumberFormat="1" applyFont="1" applyFill="1" applyBorder="1" applyAlignment="1">
      <alignment horizontal="center" vertical="center"/>
      <protection/>
    </xf>
    <xf numFmtId="0" fontId="25" fillId="0" borderId="17" xfId="57" applyFont="1" applyFill="1" applyBorder="1" applyAlignment="1">
      <alignment horizontal="center" vertical="center" wrapText="1"/>
      <protection/>
    </xf>
    <xf numFmtId="165" fontId="25" fillId="0" borderId="0" xfId="57" applyNumberFormat="1" applyFont="1" applyFill="1" applyBorder="1" applyAlignment="1">
      <alignment horizontal="center" vertical="center" wrapText="1"/>
      <protection/>
    </xf>
    <xf numFmtId="10" fontId="25" fillId="0" borderId="0" xfId="57" applyNumberFormat="1" applyFont="1" applyFill="1" applyBorder="1" applyAlignment="1">
      <alignment horizontal="center" vertical="center" wrapText="1"/>
      <protection/>
    </xf>
    <xf numFmtId="10" fontId="25" fillId="0" borderId="17" xfId="57" applyNumberFormat="1" applyFont="1" applyFill="1" applyBorder="1" applyAlignment="1">
      <alignment horizontal="center" vertical="center" wrapText="1"/>
      <protection/>
    </xf>
    <xf numFmtId="0" fontId="24" fillId="0" borderId="17" xfId="57" applyFont="1" applyFill="1" applyBorder="1" applyAlignment="1">
      <alignment horizontal="center" vertical="center" wrapText="1"/>
      <protection/>
    </xf>
    <xf numFmtId="0" fontId="25" fillId="0" borderId="0" xfId="57" applyFont="1" applyFill="1" applyBorder="1" applyAlignment="1">
      <alignment horizontal="left" vertical="center" wrapText="1"/>
      <protection/>
    </xf>
    <xf numFmtId="175" fontId="25" fillId="24" borderId="10" xfId="0" applyNumberFormat="1" applyFont="1" applyFill="1" applyBorder="1" applyAlignment="1">
      <alignment horizontal="center" vertical="center"/>
    </xf>
    <xf numFmtId="175" fontId="26" fillId="24" borderId="10" xfId="0" applyNumberFormat="1" applyFont="1" applyFill="1" applyBorder="1" applyAlignment="1">
      <alignment horizontal="center" vertical="center"/>
    </xf>
    <xf numFmtId="4" fontId="26" fillId="0" borderId="10" xfId="57"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9" fontId="26" fillId="24" borderId="10" xfId="0" applyNumberFormat="1" applyFont="1" applyFill="1" applyBorder="1" applyAlignment="1">
      <alignment horizontal="center" vertical="center"/>
    </xf>
    <xf numFmtId="9" fontId="27" fillId="0" borderId="10" xfId="0" applyNumberFormat="1" applyFont="1" applyFill="1" applyBorder="1" applyAlignment="1">
      <alignment horizontal="center" vertical="center" wrapText="1"/>
    </xf>
    <xf numFmtId="2" fontId="33" fillId="24" borderId="10" xfId="0" applyNumberFormat="1" applyFont="1" applyFill="1" applyBorder="1" applyAlignment="1" applyProtection="1">
      <alignment horizontal="center" vertical="center"/>
      <protection/>
    </xf>
    <xf numFmtId="0" fontId="27" fillId="0" borderId="15" xfId="0" applyFont="1" applyBorder="1" applyAlignment="1">
      <alignment vertical="center" wrapText="1"/>
    </xf>
    <xf numFmtId="9" fontId="27" fillId="0" borderId="11" xfId="0" applyNumberFormat="1" applyFont="1" applyBorder="1" applyAlignment="1">
      <alignment horizontal="center" vertical="center"/>
    </xf>
    <xf numFmtId="0" fontId="27" fillId="0" borderId="11" xfId="0" applyFont="1" applyBorder="1" applyAlignment="1">
      <alignment horizontal="center" vertical="center"/>
    </xf>
    <xf numFmtId="4" fontId="27" fillId="0" borderId="10" xfId="0" applyNumberFormat="1" applyFont="1" applyFill="1" applyBorder="1" applyAlignment="1">
      <alignment horizontal="center" vertical="center" wrapText="1"/>
    </xf>
    <xf numFmtId="4" fontId="27" fillId="0" borderId="10" xfId="57" applyNumberFormat="1" applyFont="1" applyFill="1" applyBorder="1" applyAlignment="1">
      <alignment horizontal="center" vertical="center" wrapText="1"/>
      <protection/>
    </xf>
    <xf numFmtId="0" fontId="26" fillId="24" borderId="0"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44" fillId="0" borderId="10" xfId="0" applyFont="1" applyBorder="1" applyAlignment="1">
      <alignment vertical="center" wrapText="1"/>
    </xf>
    <xf numFmtId="4" fontId="24" fillId="0" borderId="10"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4" fontId="25" fillId="0" borderId="10" xfId="57" applyNumberFormat="1" applyFont="1" applyFill="1" applyBorder="1" applyAlignment="1">
      <alignment horizontal="center" vertical="center"/>
      <protection/>
    </xf>
    <xf numFmtId="0" fontId="25" fillId="25" borderId="17" xfId="57" applyFont="1" applyFill="1" applyBorder="1" applyAlignment="1">
      <alignment horizontal="center" vertical="center" wrapText="1"/>
      <protection/>
    </xf>
    <xf numFmtId="165" fontId="25" fillId="25" borderId="17" xfId="57" applyNumberFormat="1" applyFont="1" applyFill="1" applyBorder="1" applyAlignment="1">
      <alignment horizontal="center" vertical="center" wrapText="1"/>
      <protection/>
    </xf>
    <xf numFmtId="10" fontId="25" fillId="25" borderId="17" xfId="57" applyNumberFormat="1" applyFont="1" applyFill="1" applyBorder="1" applyAlignment="1">
      <alignment horizontal="center" vertical="center" wrapText="1"/>
      <protection/>
    </xf>
    <xf numFmtId="0" fontId="24" fillId="0" borderId="17" xfId="57" applyFont="1" applyFill="1" applyBorder="1" applyAlignment="1">
      <alignment horizontal="left" vertical="center" wrapText="1"/>
      <protection/>
    </xf>
    <xf numFmtId="9" fontId="24" fillId="0" borderId="17" xfId="57" applyNumberFormat="1" applyFont="1" applyFill="1" applyBorder="1" applyAlignment="1">
      <alignment horizontal="center" vertical="center" wrapText="1"/>
      <protection/>
    </xf>
    <xf numFmtId="0" fontId="27" fillId="0" borderId="17" xfId="0" applyFont="1" applyBorder="1" applyAlignment="1">
      <alignment wrapText="1"/>
    </xf>
    <xf numFmtId="2" fontId="27" fillId="0" borderId="0" xfId="0" applyNumberFormat="1" applyFont="1" applyAlignment="1">
      <alignment wrapText="1"/>
    </xf>
    <xf numFmtId="0" fontId="27" fillId="0" borderId="0" xfId="0" applyFont="1" applyAlignment="1">
      <alignment/>
    </xf>
    <xf numFmtId="178" fontId="24" fillId="0" borderId="17" xfId="57" applyNumberFormat="1" applyFont="1" applyFill="1" applyBorder="1" applyAlignment="1">
      <alignment horizontal="center" vertical="center" wrapText="1"/>
      <protection/>
    </xf>
    <xf numFmtId="178" fontId="25" fillId="0" borderId="17" xfId="57" applyNumberFormat="1" applyFont="1" applyFill="1" applyBorder="1" applyAlignment="1">
      <alignment horizontal="center" vertical="center" wrapText="1"/>
      <protection/>
    </xf>
    <xf numFmtId="2" fontId="27" fillId="0" borderId="10" xfId="0" applyNumberFormat="1" applyFont="1" applyBorder="1" applyAlignment="1">
      <alignment horizontal="center" vertical="center"/>
    </xf>
    <xf numFmtId="2" fontId="33" fillId="24" borderId="10" xfId="71" applyNumberFormat="1" applyFont="1" applyFill="1" applyBorder="1" applyAlignment="1" applyProtection="1">
      <alignment horizontal="center"/>
      <protection/>
    </xf>
    <xf numFmtId="2" fontId="27" fillId="0" borderId="10" xfId="71" applyNumberFormat="1" applyFont="1" applyFill="1" applyBorder="1" applyAlignment="1" applyProtection="1">
      <alignment horizontal="center" vertical="center"/>
      <protection/>
    </xf>
    <xf numFmtId="2" fontId="24" fillId="24" borderId="10" xfId="0" applyNumberFormat="1" applyFont="1" applyFill="1" applyBorder="1" applyAlignment="1">
      <alignment horizontal="center" vertical="center" wrapText="1"/>
    </xf>
    <xf numFmtId="2" fontId="24" fillId="0" borderId="0" xfId="0" applyNumberFormat="1" applyFont="1" applyAlignment="1">
      <alignment vertical="center"/>
    </xf>
    <xf numFmtId="2" fontId="27" fillId="24" borderId="10" xfId="0" applyNumberFormat="1" applyFont="1" applyFill="1" applyBorder="1" applyAlignment="1">
      <alignment horizontal="center" vertical="center" wrapText="1"/>
    </xf>
    <xf numFmtId="2" fontId="26" fillId="24" borderId="10" xfId="0" applyNumberFormat="1" applyFont="1" applyFill="1" applyBorder="1" applyAlignment="1">
      <alignment horizontal="center" vertical="center"/>
    </xf>
    <xf numFmtId="2" fontId="27" fillId="0" borderId="10" xfId="0" applyNumberFormat="1" applyFont="1" applyBorder="1" applyAlignment="1">
      <alignment horizontal="center" vertical="center" wrapText="1"/>
    </xf>
    <xf numFmtId="2" fontId="24" fillId="0" borderId="10" xfId="0" applyNumberFormat="1" applyFont="1" applyBorder="1" applyAlignment="1">
      <alignment horizontal="center" vertical="center"/>
    </xf>
    <xf numFmtId="2" fontId="25" fillId="24" borderId="10" xfId="0" applyNumberFormat="1" applyFont="1" applyFill="1" applyBorder="1" applyAlignment="1">
      <alignment horizontal="center" vertical="center"/>
    </xf>
    <xf numFmtId="2" fontId="24" fillId="0" borderId="0" xfId="0" applyNumberFormat="1" applyFont="1" applyAlignment="1">
      <alignment horizontal="center" vertical="center"/>
    </xf>
    <xf numFmtId="2" fontId="27" fillId="0" borderId="10" xfId="0" applyNumberFormat="1" applyFont="1" applyFill="1" applyBorder="1" applyAlignment="1">
      <alignment horizontal="center" vertical="center" wrapText="1"/>
    </xf>
    <xf numFmtId="2" fontId="26" fillId="0" borderId="10" xfId="57" applyNumberFormat="1" applyFont="1" applyFill="1" applyBorder="1" applyAlignment="1">
      <alignment horizontal="center" vertical="center" wrapText="1" readingOrder="1"/>
      <protection/>
    </xf>
    <xf numFmtId="2" fontId="27" fillId="0" borderId="10" xfId="0" applyNumberFormat="1" applyFont="1" applyBorder="1" applyAlignment="1">
      <alignment horizontal="center" vertical="center" wrapText="1" readingOrder="1"/>
    </xf>
    <xf numFmtId="2" fontId="26" fillId="24" borderId="10" xfId="0" applyNumberFormat="1" applyFont="1" applyFill="1" applyBorder="1" applyAlignment="1">
      <alignment horizontal="center" vertical="center" wrapText="1" readingOrder="1"/>
    </xf>
    <xf numFmtId="2" fontId="24" fillId="24" borderId="11" xfId="0" applyNumberFormat="1" applyFont="1" applyFill="1" applyBorder="1" applyAlignment="1">
      <alignment horizontal="center" vertical="center" wrapText="1"/>
    </xf>
    <xf numFmtId="2" fontId="27" fillId="24" borderId="13" xfId="0" applyNumberFormat="1" applyFont="1" applyFill="1" applyBorder="1" applyAlignment="1">
      <alignment horizontal="center" vertical="center" wrapText="1"/>
    </xf>
    <xf numFmtId="0" fontId="26" fillId="24" borderId="12" xfId="0" applyFont="1" applyFill="1" applyBorder="1" applyAlignment="1">
      <alignment horizontal="center" vertical="center" wrapText="1"/>
    </xf>
    <xf numFmtId="0" fontId="27" fillId="0" borderId="13" xfId="0" applyFont="1" applyBorder="1" applyAlignment="1">
      <alignment horizontal="center" vertical="center" wrapText="1"/>
    </xf>
    <xf numFmtId="2" fontId="27" fillId="0" borderId="18" xfId="0" applyNumberFormat="1" applyFont="1" applyBorder="1" applyAlignment="1">
      <alignment wrapText="1"/>
    </xf>
    <xf numFmtId="0" fontId="27" fillId="0" borderId="18" xfId="0" applyFont="1" applyBorder="1" applyAlignment="1">
      <alignment wrapText="1"/>
    </xf>
    <xf numFmtId="3" fontId="27" fillId="0" borderId="10" xfId="0" applyNumberFormat="1" applyFont="1" applyBorder="1" applyAlignment="1">
      <alignment horizontal="center" vertical="center"/>
    </xf>
    <xf numFmtId="0" fontId="26" fillId="0" borderId="12" xfId="57" applyFont="1" applyFill="1" applyBorder="1" applyAlignment="1">
      <alignment horizontal="center" vertical="center" wrapText="1"/>
      <protection/>
    </xf>
    <xf numFmtId="0" fontId="26" fillId="0" borderId="14" xfId="57" applyFont="1" applyFill="1" applyBorder="1" applyAlignment="1">
      <alignment horizontal="center" vertical="center"/>
      <protection/>
    </xf>
    <xf numFmtId="0" fontId="27" fillId="0" borderId="17" xfId="0" applyFont="1" applyFill="1" applyBorder="1" applyAlignment="1">
      <alignment horizontal="left" vertical="top" wrapText="1"/>
    </xf>
    <xf numFmtId="0" fontId="24" fillId="0" borderId="10" xfId="0" applyFont="1" applyBorder="1" applyAlignment="1">
      <alignment vertical="center" wrapText="1"/>
    </xf>
    <xf numFmtId="2" fontId="27" fillId="24" borderId="14" xfId="0" applyNumberFormat="1" applyFont="1" applyFill="1" applyBorder="1" applyAlignment="1">
      <alignment horizontal="center" vertical="center" wrapText="1"/>
    </xf>
    <xf numFmtId="166" fontId="27" fillId="24" borderId="0" xfId="0" applyNumberFormat="1" applyFont="1" applyFill="1" applyBorder="1" applyAlignment="1">
      <alignment horizontal="center" vertical="center" wrapText="1"/>
    </xf>
    <xf numFmtId="2" fontId="27" fillId="24" borderId="0" xfId="0" applyNumberFormat="1" applyFont="1" applyFill="1" applyBorder="1" applyAlignment="1">
      <alignment horizontal="center" vertical="center" wrapText="1"/>
    </xf>
    <xf numFmtId="9" fontId="27" fillId="24" borderId="0" xfId="0" applyNumberFormat="1" applyFont="1" applyFill="1" applyBorder="1" applyAlignment="1">
      <alignment horizontal="center" vertical="center" wrapText="1"/>
    </xf>
    <xf numFmtId="0" fontId="26" fillId="24" borderId="11" xfId="0" applyFont="1" applyFill="1" applyBorder="1" applyAlignment="1">
      <alignment horizontal="center" vertical="center" wrapText="1"/>
    </xf>
    <xf numFmtId="0" fontId="27" fillId="0" borderId="11" xfId="0" applyFont="1" applyBorder="1" applyAlignment="1">
      <alignment vertical="center" wrapText="1"/>
    </xf>
    <xf numFmtId="166" fontId="27" fillId="24" borderId="11" xfId="0" applyNumberFormat="1" applyFont="1" applyFill="1" applyBorder="1" applyAlignment="1">
      <alignment horizontal="center" vertical="center" wrapText="1"/>
    </xf>
    <xf numFmtId="2" fontId="27" fillId="24" borderId="11" xfId="0" applyNumberFormat="1" applyFont="1" applyFill="1" applyBorder="1" applyAlignment="1">
      <alignment horizontal="center" vertical="center" wrapText="1"/>
    </xf>
    <xf numFmtId="9" fontId="27" fillId="24" borderId="11" xfId="0" applyNumberFormat="1" applyFont="1" applyFill="1" applyBorder="1" applyAlignment="1">
      <alignment horizontal="center" vertical="center" wrapText="1"/>
    </xf>
    <xf numFmtId="0" fontId="27" fillId="24" borderId="17" xfId="0" applyFont="1" applyFill="1" applyBorder="1" applyAlignment="1">
      <alignment vertical="center"/>
    </xf>
    <xf numFmtId="0" fontId="26" fillId="24" borderId="17" xfId="0" applyFont="1" applyFill="1" applyBorder="1" applyAlignment="1">
      <alignment horizontal="center" vertical="center"/>
    </xf>
    <xf numFmtId="2" fontId="26" fillId="24" borderId="17" xfId="0" applyNumberFormat="1" applyFont="1" applyFill="1" applyBorder="1" applyAlignment="1">
      <alignment horizontal="center" vertical="center"/>
    </xf>
    <xf numFmtId="10" fontId="27" fillId="24" borderId="17" xfId="0" applyNumberFormat="1" applyFont="1" applyFill="1" applyBorder="1" applyAlignment="1">
      <alignment vertical="center"/>
    </xf>
    <xf numFmtId="0" fontId="27" fillId="24" borderId="17" xfId="0" applyFont="1" applyFill="1" applyBorder="1" applyAlignment="1">
      <alignment vertical="center" wrapText="1"/>
    </xf>
    <xf numFmtId="4" fontId="22" fillId="0" borderId="0" xfId="0" applyNumberFormat="1" applyFont="1" applyAlignment="1">
      <alignment horizontal="center" vertical="center"/>
    </xf>
    <xf numFmtId="175" fontId="30" fillId="0" borderId="10" xfId="42" applyNumberFormat="1" applyFont="1" applyFill="1" applyBorder="1" applyAlignment="1">
      <alignment horizontal="center" vertical="center" wrapText="1"/>
    </xf>
    <xf numFmtId="9" fontId="27" fillId="0" borderId="10" xfId="0" applyNumberFormat="1" applyFont="1" applyFill="1" applyBorder="1" applyAlignment="1">
      <alignment horizontal="center" vertical="center" wrapText="1"/>
    </xf>
    <xf numFmtId="9" fontId="27" fillId="0" borderId="10" xfId="0" applyNumberFormat="1" applyFont="1" applyBorder="1" applyAlignment="1">
      <alignment horizontal="center" vertical="center"/>
    </xf>
    <xf numFmtId="175" fontId="30" fillId="24" borderId="10" xfId="42" applyNumberFormat="1" applyFont="1" applyFill="1" applyBorder="1" applyAlignment="1">
      <alignment horizontal="center" vertical="center"/>
    </xf>
    <xf numFmtId="0" fontId="26" fillId="24" borderId="10" xfId="0" applyFont="1" applyFill="1" applyBorder="1" applyAlignment="1">
      <alignment vertical="center"/>
    </xf>
    <xf numFmtId="49" fontId="26" fillId="20" borderId="17" xfId="0" applyNumberFormat="1" applyFont="1" applyFill="1" applyBorder="1" applyAlignment="1">
      <alignment horizontal="center" vertical="center" wrapText="1"/>
    </xf>
    <xf numFmtId="0" fontId="26" fillId="20" borderId="17" xfId="0" applyFont="1" applyFill="1" applyBorder="1" applyAlignment="1">
      <alignment horizontal="center" vertical="center" wrapText="1"/>
    </xf>
    <xf numFmtId="0" fontId="26" fillId="20" borderId="17" xfId="0" applyFont="1" applyFill="1" applyBorder="1" applyAlignment="1">
      <alignment vertical="center" wrapText="1"/>
    </xf>
    <xf numFmtId="0" fontId="27" fillId="0" borderId="14" xfId="0" applyFont="1" applyBorder="1" applyAlignment="1">
      <alignment vertical="center" wrapText="1"/>
    </xf>
    <xf numFmtId="0" fontId="26" fillId="24" borderId="14" xfId="0" applyFont="1" applyFill="1" applyBorder="1" applyAlignment="1">
      <alignment horizontal="center" vertical="center" wrapText="1"/>
    </xf>
    <xf numFmtId="166" fontId="27" fillId="24" borderId="17" xfId="0" applyNumberFormat="1" applyFont="1" applyFill="1" applyBorder="1" applyAlignment="1">
      <alignment horizontal="center" vertical="center" wrapText="1"/>
    </xf>
    <xf numFmtId="165" fontId="24" fillId="0" borderId="10" xfId="0" applyNumberFormat="1" applyFont="1" applyBorder="1" applyAlignment="1">
      <alignment horizontal="center" vertical="center"/>
    </xf>
    <xf numFmtId="165" fontId="27" fillId="24" borderId="10" xfId="0" applyNumberFormat="1" applyFont="1" applyFill="1" applyBorder="1" applyAlignment="1">
      <alignment horizontal="center" vertical="center" wrapText="1"/>
    </xf>
    <xf numFmtId="166" fontId="27" fillId="24" borderId="10" xfId="0" applyNumberFormat="1" applyFont="1" applyFill="1" applyBorder="1" applyAlignment="1">
      <alignment horizontal="center" vertical="center" wrapText="1"/>
    </xf>
    <xf numFmtId="168" fontId="27" fillId="24" borderId="10" xfId="0" applyNumberFormat="1" applyFont="1" applyFill="1" applyBorder="1" applyAlignment="1">
      <alignment horizontal="center" vertical="center" wrapText="1"/>
    </xf>
    <xf numFmtId="165" fontId="24" fillId="24" borderId="10" xfId="0" applyNumberFormat="1" applyFont="1" applyFill="1" applyBorder="1" applyAlignment="1">
      <alignment horizontal="center" vertical="center" wrapText="1"/>
    </xf>
    <xf numFmtId="168" fontId="24" fillId="24" borderId="10" xfId="0" applyNumberFormat="1" applyFont="1" applyFill="1" applyBorder="1" applyAlignment="1">
      <alignment horizontal="center" vertical="center" wrapText="1"/>
    </xf>
    <xf numFmtId="0" fontId="24" fillId="0" borderId="10" xfId="57" applyFont="1" applyFill="1" applyBorder="1" applyAlignment="1">
      <alignment horizontal="center" vertical="center" wrapText="1"/>
      <protection/>
    </xf>
    <xf numFmtId="166" fontId="24" fillId="0" borderId="10" xfId="57" applyNumberFormat="1" applyFont="1" applyFill="1" applyBorder="1" applyAlignment="1">
      <alignment horizontal="center" vertical="center" wrapText="1"/>
      <protection/>
    </xf>
    <xf numFmtId="165" fontId="27" fillId="24" borderId="11" xfId="0" applyNumberFormat="1" applyFont="1" applyFill="1" applyBorder="1" applyAlignment="1">
      <alignment horizontal="center" vertical="center" wrapText="1"/>
    </xf>
    <xf numFmtId="166" fontId="27" fillId="0" borderId="10" xfId="57" applyNumberFormat="1" applyFont="1" applyFill="1" applyBorder="1" applyAlignment="1">
      <alignment horizontal="center" vertical="center" wrapText="1"/>
      <protection/>
    </xf>
    <xf numFmtId="2" fontId="30" fillId="0" borderId="10" xfId="0" applyNumberFormat="1" applyFont="1" applyFill="1" applyBorder="1" applyAlignment="1" applyProtection="1">
      <alignment horizontal="center" vertical="center" wrapText="1"/>
      <protection/>
    </xf>
    <xf numFmtId="2" fontId="27" fillId="0" borderId="10" xfId="0" applyNumberFormat="1" applyFont="1" applyFill="1" applyBorder="1" applyAlignment="1" applyProtection="1">
      <alignment horizontal="center" vertical="center" wrapText="1"/>
      <protection/>
    </xf>
    <xf numFmtId="0" fontId="27" fillId="0" borderId="0" xfId="0" applyFont="1" applyAlignment="1">
      <alignment wrapText="1"/>
    </xf>
    <xf numFmtId="0" fontId="25" fillId="0" borderId="0" xfId="57" applyFont="1" applyFill="1" applyBorder="1" applyAlignment="1">
      <alignment horizontal="left" vertical="center" wrapText="1"/>
      <protection/>
    </xf>
    <xf numFmtId="0" fontId="24" fillId="0" borderId="0" xfId="57" applyFont="1" applyFill="1" applyBorder="1" applyAlignment="1">
      <alignment horizontal="center" vertical="center"/>
      <protection/>
    </xf>
    <xf numFmtId="0" fontId="45" fillId="0" borderId="10" xfId="57" applyFont="1" applyFill="1" applyBorder="1" applyAlignment="1">
      <alignment horizontal="left" vertical="center" wrapText="1"/>
      <protection/>
    </xf>
    <xf numFmtId="0" fontId="23" fillId="0" borderId="19" xfId="57" applyFont="1" applyFill="1" applyBorder="1" applyAlignment="1">
      <alignment horizontal="left" vertical="center" wrapText="1"/>
      <protection/>
    </xf>
    <xf numFmtId="0" fontId="24" fillId="0" borderId="0" xfId="0" applyFont="1" applyBorder="1" applyAlignment="1">
      <alignment horizontal="center" vertical="center"/>
    </xf>
    <xf numFmtId="0" fontId="30" fillId="0" borderId="0" xfId="58" applyNumberFormat="1" applyFont="1" applyFill="1" applyBorder="1" applyAlignment="1" applyProtection="1">
      <alignment horizontal="center" vertical="center"/>
      <protection/>
    </xf>
    <xf numFmtId="0" fontId="33" fillId="0" borderId="0" xfId="0" applyFont="1" applyBorder="1" applyAlignment="1">
      <alignment horizontal="left" vertical="center"/>
    </xf>
    <xf numFmtId="0" fontId="33" fillId="24" borderId="1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left" vertical="center"/>
      <protection/>
    </xf>
    <xf numFmtId="0" fontId="30" fillId="0" borderId="0" xfId="58" applyNumberFormat="1" applyFont="1" applyFill="1" applyBorder="1" applyAlignment="1" applyProtection="1">
      <alignment horizontal="right"/>
      <protection/>
    </xf>
    <xf numFmtId="0" fontId="33" fillId="0" borderId="0" xfId="58" applyNumberFormat="1" applyFont="1" applyFill="1" applyBorder="1" applyAlignment="1" applyProtection="1">
      <alignment horizontal="left" vertical="center"/>
      <protection/>
    </xf>
    <xf numFmtId="0" fontId="33" fillId="24" borderId="10" xfId="58" applyNumberFormat="1" applyFont="1" applyFill="1" applyBorder="1" applyAlignment="1" applyProtection="1">
      <alignment horizontal="center" vertical="center"/>
      <protection/>
    </xf>
    <xf numFmtId="0" fontId="26" fillId="24" borderId="20" xfId="0" applyFont="1" applyFill="1" applyBorder="1" applyAlignment="1">
      <alignment horizontal="left" vertical="center" wrapText="1"/>
    </xf>
    <xf numFmtId="0" fontId="26" fillId="24" borderId="16" xfId="0" applyFont="1" applyFill="1" applyBorder="1" applyAlignment="1">
      <alignment horizontal="left" vertical="center" wrapText="1"/>
    </xf>
    <xf numFmtId="0" fontId="25" fillId="0" borderId="0" xfId="0" applyFont="1" applyBorder="1" applyAlignment="1">
      <alignment vertical="center"/>
    </xf>
    <xf numFmtId="0" fontId="23" fillId="0" borderId="0" xfId="0" applyFont="1" applyBorder="1" applyAlignment="1">
      <alignment vertical="center"/>
    </xf>
  </cellXfs>
  <cellStyles count="6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_BuiltIn_20% - akcent 1" xfId="44"/>
    <cellStyle name="Heading" xfId="45"/>
    <cellStyle name="Heading 1" xfId="46"/>
    <cellStyle name="Heading1" xfId="47"/>
    <cellStyle name="Heading1 1" xfId="48"/>
    <cellStyle name="Hyperlink" xfId="49"/>
    <cellStyle name="Komórka połączona" xfId="50"/>
    <cellStyle name="Komórka zaznaczona" xfId="51"/>
    <cellStyle name="Nagłówek 1" xfId="52"/>
    <cellStyle name="Nagłówek 2" xfId="53"/>
    <cellStyle name="Nagłówek 3" xfId="54"/>
    <cellStyle name="Nagłówek 4" xfId="55"/>
    <cellStyle name="Neutralne" xfId="56"/>
    <cellStyle name="Normalny 2" xfId="57"/>
    <cellStyle name="Normalny_Arkusz1" xfId="58"/>
    <cellStyle name="Obliczenia" xfId="59"/>
    <cellStyle name="Followed Hyperlink" xfId="60"/>
    <cellStyle name="Percent" xfId="61"/>
    <cellStyle name="Result" xfId="62"/>
    <cellStyle name="Result 1" xfId="63"/>
    <cellStyle name="Result2" xfId="64"/>
    <cellStyle name="Result2 1" xfId="65"/>
    <cellStyle name="Suma" xfId="66"/>
    <cellStyle name="Tekst objaśnienia" xfId="67"/>
    <cellStyle name="Tekst ostrzeżenia" xfId="68"/>
    <cellStyle name="Tytuł" xfId="69"/>
    <cellStyle name="Uwaga" xfId="70"/>
    <cellStyle name="Currency" xfId="71"/>
    <cellStyle name="Currency [0]" xfId="72"/>
    <cellStyle name="Złe"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639"/>
  <sheetViews>
    <sheetView tabSelected="1" zoomScaleSheetLayoutView="100" workbookViewId="0" topLeftCell="A1">
      <selection activeCell="E527" sqref="E527"/>
    </sheetView>
  </sheetViews>
  <sheetFormatPr defaultColWidth="8.3984375" defaultRowHeight="14.25"/>
  <cols>
    <col min="1" max="1" width="4.59765625" style="1" customWidth="1"/>
    <col min="2" max="2" width="52.8984375" style="1" customWidth="1"/>
    <col min="3" max="3" width="9.09765625" style="1" customWidth="1"/>
    <col min="4" max="4" width="7.09765625" style="1" customWidth="1"/>
    <col min="5" max="5" width="13.69921875" style="1" customWidth="1"/>
    <col min="6" max="6" width="17.8984375" style="2" customWidth="1"/>
    <col min="7" max="7" width="7.5" style="1" customWidth="1"/>
    <col min="8" max="8" width="17.59765625" style="1" customWidth="1"/>
    <col min="9" max="9" width="12.8984375" style="1" customWidth="1"/>
    <col min="10" max="10" width="16.69921875" style="3" customWidth="1"/>
    <col min="11" max="254" width="8.3984375" style="1" customWidth="1"/>
  </cols>
  <sheetData>
    <row r="1" spans="1:10" ht="24.75" customHeight="1">
      <c r="A1" s="345" t="s">
        <v>304</v>
      </c>
      <c r="B1" s="345"/>
      <c r="C1" s="345"/>
      <c r="D1" s="345"/>
      <c r="E1" s="4"/>
      <c r="F1" s="5"/>
      <c r="G1" s="4"/>
      <c r="H1" s="4"/>
      <c r="I1" s="4"/>
      <c r="J1" s="6"/>
    </row>
    <row r="2" spans="1:10" ht="24">
      <c r="A2" s="7" t="s">
        <v>0</v>
      </c>
      <c r="B2" s="7" t="s">
        <v>1</v>
      </c>
      <c r="C2" s="7" t="s">
        <v>2</v>
      </c>
      <c r="D2" s="7" t="s">
        <v>3</v>
      </c>
      <c r="E2" s="7" t="s">
        <v>4</v>
      </c>
      <c r="F2" s="7" t="s">
        <v>5</v>
      </c>
      <c r="G2" s="7" t="s">
        <v>6</v>
      </c>
      <c r="H2" s="7" t="s">
        <v>7</v>
      </c>
      <c r="I2" s="8" t="s">
        <v>8</v>
      </c>
      <c r="J2" s="7" t="s">
        <v>9</v>
      </c>
    </row>
    <row r="3" spans="1:10" ht="113.25" customHeight="1">
      <c r="A3" s="9">
        <v>1</v>
      </c>
      <c r="B3" s="10" t="s">
        <v>286</v>
      </c>
      <c r="C3" s="11" t="s">
        <v>10</v>
      </c>
      <c r="D3" s="286">
        <v>1650</v>
      </c>
      <c r="E3" s="12"/>
      <c r="F3" s="265">
        <f>D3*E3</f>
        <v>0</v>
      </c>
      <c r="G3" s="13"/>
      <c r="H3" s="248">
        <f>F3+(F3*G3)</f>
        <v>0</v>
      </c>
      <c r="I3" s="11"/>
      <c r="J3" s="14"/>
    </row>
    <row r="4" spans="1:10" ht="14.25">
      <c r="A4" s="9"/>
      <c r="B4" s="9" t="s">
        <v>11</v>
      </c>
      <c r="C4" s="24"/>
      <c r="D4" s="24"/>
      <c r="E4" s="24"/>
      <c r="F4" s="271">
        <f>SUM(F3)</f>
        <v>0</v>
      </c>
      <c r="G4" s="25"/>
      <c r="H4" s="238">
        <f>SUM(H3)</f>
        <v>0</v>
      </c>
      <c r="I4" s="24"/>
      <c r="J4" s="24"/>
    </row>
    <row r="5" spans="1:10" ht="24.75" customHeight="1">
      <c r="A5" s="19"/>
      <c r="B5" s="20"/>
      <c r="C5" s="21"/>
      <c r="D5" s="21"/>
      <c r="E5" s="21"/>
      <c r="F5" s="22"/>
      <c r="G5" s="21"/>
      <c r="H5" s="21"/>
      <c r="I5" s="21"/>
      <c r="J5" s="21"/>
    </row>
    <row r="6" spans="1:10" ht="14.25">
      <c r="A6" s="19"/>
      <c r="B6" s="20"/>
      <c r="C6" s="21"/>
      <c r="D6" s="21"/>
      <c r="E6" s="21"/>
      <c r="F6" s="22"/>
      <c r="G6" s="21"/>
      <c r="H6" s="21"/>
      <c r="I6" s="334" t="s">
        <v>12</v>
      </c>
      <c r="J6" s="334"/>
    </row>
    <row r="7" spans="1:10" ht="24.75" customHeight="1">
      <c r="A7" s="19"/>
      <c r="B7" s="20"/>
      <c r="C7" s="21"/>
      <c r="D7" s="21"/>
      <c r="E7" s="21"/>
      <c r="F7" s="22"/>
      <c r="G7" s="21"/>
      <c r="H7" s="21"/>
      <c r="I7" s="334" t="s">
        <v>13</v>
      </c>
      <c r="J7" s="334"/>
    </row>
    <row r="8" spans="1:10" ht="15">
      <c r="A8" s="26" t="s">
        <v>306</v>
      </c>
      <c r="B8" s="4"/>
      <c r="C8" s="5"/>
      <c r="D8" s="5"/>
      <c r="E8" s="5"/>
      <c r="F8" s="5"/>
      <c r="G8" s="5"/>
      <c r="H8" s="5"/>
      <c r="I8" s="5"/>
      <c r="J8" s="58"/>
    </row>
    <row r="9" spans="1:10" ht="40.5" customHeight="1">
      <c r="A9" s="7" t="s">
        <v>0</v>
      </c>
      <c r="B9" s="7" t="s">
        <v>1</v>
      </c>
      <c r="C9" s="7" t="s">
        <v>2</v>
      </c>
      <c r="D9" s="7" t="s">
        <v>3</v>
      </c>
      <c r="E9" s="7" t="s">
        <v>4</v>
      </c>
      <c r="F9" s="7" t="s">
        <v>5</v>
      </c>
      <c r="G9" s="7" t="s">
        <v>6</v>
      </c>
      <c r="H9" s="7" t="s">
        <v>7</v>
      </c>
      <c r="I9" s="8" t="s">
        <v>8</v>
      </c>
      <c r="J9" s="7" t="s">
        <v>9</v>
      </c>
    </row>
    <row r="10" spans="1:10" ht="102.75" customHeight="1">
      <c r="A10" s="15">
        <v>1</v>
      </c>
      <c r="B10" s="10" t="s">
        <v>22</v>
      </c>
      <c r="C10" s="61" t="s">
        <v>10</v>
      </c>
      <c r="D10" s="61">
        <f>5</f>
        <v>5</v>
      </c>
      <c r="E10" s="317"/>
      <c r="F10" s="273">
        <f>D10*E10</f>
        <v>0</v>
      </c>
      <c r="G10" s="92"/>
      <c r="H10" s="248">
        <f>F10+(F10*G10)</f>
        <v>0</v>
      </c>
      <c r="I10" s="62"/>
      <c r="J10" s="61"/>
    </row>
    <row r="11" spans="1:10" ht="100.5" customHeight="1">
      <c r="A11" s="15">
        <v>2</v>
      </c>
      <c r="B11" s="10" t="s">
        <v>23</v>
      </c>
      <c r="C11" s="61" t="s">
        <v>10</v>
      </c>
      <c r="D11" s="61">
        <f>5+20</f>
        <v>25</v>
      </c>
      <c r="E11" s="317"/>
      <c r="F11" s="273">
        <f>D11*E11</f>
        <v>0</v>
      </c>
      <c r="G11" s="92"/>
      <c r="H11" s="248">
        <f>F11+(F11*G11)</f>
        <v>0</v>
      </c>
      <c r="I11" s="62"/>
      <c r="J11" s="61"/>
    </row>
    <row r="12" spans="1:10" ht="102" customHeight="1">
      <c r="A12" s="15">
        <v>3</v>
      </c>
      <c r="B12" s="10" t="s">
        <v>24</v>
      </c>
      <c r="C12" s="61" t="s">
        <v>10</v>
      </c>
      <c r="D12" s="61">
        <f>20+20</f>
        <v>40</v>
      </c>
      <c r="E12" s="317"/>
      <c r="F12" s="273">
        <f>D12*E12</f>
        <v>0</v>
      </c>
      <c r="G12" s="92"/>
      <c r="H12" s="248">
        <f>F12+(F12*G12)</f>
        <v>0</v>
      </c>
      <c r="I12" s="62"/>
      <c r="J12" s="61"/>
    </row>
    <row r="13" spans="1:10" ht="102.75" customHeight="1">
      <c r="A13" s="15">
        <v>4</v>
      </c>
      <c r="B13" s="10" t="s">
        <v>25</v>
      </c>
      <c r="C13" s="61" t="s">
        <v>10</v>
      </c>
      <c r="D13" s="61">
        <f>20</f>
        <v>20</v>
      </c>
      <c r="E13" s="317"/>
      <c r="F13" s="273">
        <f>D13*E13</f>
        <v>0</v>
      </c>
      <c r="G13" s="92"/>
      <c r="H13" s="248">
        <f>F13+(F13*G13)</f>
        <v>0</v>
      </c>
      <c r="I13" s="62"/>
      <c r="J13" s="61"/>
    </row>
    <row r="14" spans="1:10" ht="105" customHeight="1">
      <c r="A14" s="15">
        <v>5</v>
      </c>
      <c r="B14" s="10" t="s">
        <v>26</v>
      </c>
      <c r="C14" s="61" t="s">
        <v>10</v>
      </c>
      <c r="D14" s="61">
        <f>20</f>
        <v>20</v>
      </c>
      <c r="E14" s="317"/>
      <c r="F14" s="273">
        <f>D14*E14</f>
        <v>0</v>
      </c>
      <c r="G14" s="92"/>
      <c r="H14" s="248">
        <f>F14+(F14*G14)</f>
        <v>0</v>
      </c>
      <c r="I14" s="62"/>
      <c r="J14" s="61"/>
    </row>
    <row r="15" spans="1:10" ht="14.25">
      <c r="A15" s="63"/>
      <c r="B15" s="16" t="s">
        <v>11</v>
      </c>
      <c r="C15" s="17"/>
      <c r="D15" s="17"/>
      <c r="E15" s="17"/>
      <c r="F15" s="274">
        <f>SUM(F10:F14)</f>
        <v>0</v>
      </c>
      <c r="G15" s="40"/>
      <c r="H15" s="237">
        <f>SUM(H10:H14)</f>
        <v>0</v>
      </c>
      <c r="I15" s="17"/>
      <c r="J15" s="17"/>
    </row>
    <row r="16" spans="1:10" ht="14.25">
      <c r="A16" s="4"/>
      <c r="B16" s="4"/>
      <c r="C16" s="5"/>
      <c r="D16" s="5"/>
      <c r="E16" s="5"/>
      <c r="F16" s="5"/>
      <c r="G16" s="5"/>
      <c r="H16" s="5"/>
      <c r="I16" s="5"/>
      <c r="J16" s="58"/>
    </row>
    <row r="17" spans="1:10" ht="14.25">
      <c r="A17" s="4"/>
      <c r="B17" s="4"/>
      <c r="C17" s="5"/>
      <c r="D17" s="5"/>
      <c r="E17" s="5"/>
      <c r="F17" s="5"/>
      <c r="G17" s="5"/>
      <c r="H17" s="5"/>
      <c r="I17" s="334" t="s">
        <v>12</v>
      </c>
      <c r="J17" s="334"/>
    </row>
    <row r="18" spans="1:10" ht="14.25">
      <c r="A18" s="4"/>
      <c r="B18" s="4"/>
      <c r="C18" s="5"/>
      <c r="D18" s="5"/>
      <c r="E18" s="5"/>
      <c r="F18" s="5"/>
      <c r="G18" s="5"/>
      <c r="H18" s="5"/>
      <c r="I18" s="334" t="s">
        <v>13</v>
      </c>
      <c r="J18" s="334"/>
    </row>
    <row r="19" spans="1:10" ht="15">
      <c r="A19" s="26" t="s">
        <v>307</v>
      </c>
      <c r="B19" s="4"/>
      <c r="C19" s="5"/>
      <c r="D19" s="5"/>
      <c r="E19" s="5"/>
      <c r="F19" s="5"/>
      <c r="G19" s="5"/>
      <c r="H19" s="5"/>
      <c r="I19" s="5"/>
      <c r="J19" s="4"/>
    </row>
    <row r="20" spans="1:10" s="64" customFormat="1" ht="41.25" customHeight="1">
      <c r="A20" s="28" t="s">
        <v>0</v>
      </c>
      <c r="B20" s="28" t="s">
        <v>1</v>
      </c>
      <c r="C20" s="28" t="s">
        <v>2</v>
      </c>
      <c r="D20" s="28" t="s">
        <v>3</v>
      </c>
      <c r="E20" s="28" t="s">
        <v>4</v>
      </c>
      <c r="F20" s="28" t="s">
        <v>5</v>
      </c>
      <c r="G20" s="28" t="s">
        <v>6</v>
      </c>
      <c r="H20" s="28" t="s">
        <v>7</v>
      </c>
      <c r="I20" s="30" t="s">
        <v>8</v>
      </c>
      <c r="J20" s="28" t="s">
        <v>9</v>
      </c>
    </row>
    <row r="21" spans="1:10" ht="65.25" customHeight="1">
      <c r="A21" s="31">
        <v>1</v>
      </c>
      <c r="B21" s="10" t="s">
        <v>46</v>
      </c>
      <c r="C21" s="14" t="s">
        <v>10</v>
      </c>
      <c r="D21" s="11">
        <f>800+50</f>
        <v>850</v>
      </c>
      <c r="E21" s="318"/>
      <c r="F21" s="265">
        <f>D21*E21</f>
        <v>0</v>
      </c>
      <c r="G21" s="13"/>
      <c r="H21" s="248">
        <f aca="true" t="shared" si="0" ref="H21:H61">F21+(F21*G21)</f>
        <v>0</v>
      </c>
      <c r="I21" s="11"/>
      <c r="J21" s="14"/>
    </row>
    <row r="22" spans="1:10" ht="61.5" customHeight="1">
      <c r="A22" s="31">
        <v>2</v>
      </c>
      <c r="B22" s="10" t="s">
        <v>47</v>
      </c>
      <c r="C22" s="14" t="s">
        <v>10</v>
      </c>
      <c r="D22" s="83">
        <f>15+100+100+50+3000+30+1000+100+5+800+300+300</f>
        <v>5800</v>
      </c>
      <c r="E22" s="83"/>
      <c r="F22" s="265">
        <f aca="true" t="shared" si="1" ref="F22:F58">D22*E22</f>
        <v>0</v>
      </c>
      <c r="G22" s="241"/>
      <c r="H22" s="248">
        <f t="shared" si="0"/>
        <v>0</v>
      </c>
      <c r="I22" s="11"/>
      <c r="J22" s="14"/>
    </row>
    <row r="23" spans="1:10" ht="56.25" customHeight="1">
      <c r="A23" s="31">
        <v>3</v>
      </c>
      <c r="B23" s="10" t="s">
        <v>48</v>
      </c>
      <c r="C23" s="14" t="s">
        <v>10</v>
      </c>
      <c r="D23" s="14">
        <f>50+500</f>
        <v>550</v>
      </c>
      <c r="E23" s="318"/>
      <c r="F23" s="265">
        <f t="shared" si="1"/>
        <v>0</v>
      </c>
      <c r="G23" s="13"/>
      <c r="H23" s="248">
        <f t="shared" si="0"/>
        <v>0</v>
      </c>
      <c r="I23" s="11"/>
      <c r="J23" s="14"/>
    </row>
    <row r="24" spans="1:10" ht="53.25" customHeight="1">
      <c r="A24" s="31">
        <v>4</v>
      </c>
      <c r="B24" s="10" t="s">
        <v>49</v>
      </c>
      <c r="C24" s="14" t="s">
        <v>10</v>
      </c>
      <c r="D24" s="14">
        <f>15+10+10+30+5</f>
        <v>70</v>
      </c>
      <c r="E24" s="318"/>
      <c r="F24" s="265">
        <f t="shared" si="1"/>
        <v>0</v>
      </c>
      <c r="G24" s="13"/>
      <c r="H24" s="248">
        <f t="shared" si="0"/>
        <v>0</v>
      </c>
      <c r="I24" s="11"/>
      <c r="J24" s="14"/>
    </row>
    <row r="25" spans="1:10" ht="56.25" customHeight="1">
      <c r="A25" s="31">
        <v>5</v>
      </c>
      <c r="B25" s="10" t="s">
        <v>50</v>
      </c>
      <c r="C25" s="14" t="s">
        <v>10</v>
      </c>
      <c r="D25" s="14">
        <f>5+20+5</f>
        <v>30</v>
      </c>
      <c r="E25" s="318"/>
      <c r="F25" s="265">
        <f t="shared" si="1"/>
        <v>0</v>
      </c>
      <c r="G25" s="13"/>
      <c r="H25" s="248">
        <f t="shared" si="0"/>
        <v>0</v>
      </c>
      <c r="I25" s="11"/>
      <c r="J25" s="14"/>
    </row>
    <row r="26" spans="1:10" ht="35.25" customHeight="1">
      <c r="A26" s="31">
        <v>6</v>
      </c>
      <c r="B26" s="10" t="s">
        <v>51</v>
      </c>
      <c r="C26" s="14" t="s">
        <v>10</v>
      </c>
      <c r="D26" s="14">
        <f>350+50+100+500+30+1200+50+1000+100+800+100+10+10</f>
        <v>4300</v>
      </c>
      <c r="E26" s="318"/>
      <c r="F26" s="265">
        <f t="shared" si="1"/>
        <v>0</v>
      </c>
      <c r="G26" s="13"/>
      <c r="H26" s="248">
        <f t="shared" si="0"/>
        <v>0</v>
      </c>
      <c r="I26" s="11"/>
      <c r="J26" s="14"/>
    </row>
    <row r="27" spans="1:10" ht="52.5" customHeight="1">
      <c r="A27" s="31">
        <v>7</v>
      </c>
      <c r="B27" s="10" t="s">
        <v>52</v>
      </c>
      <c r="C27" s="14" t="s">
        <v>10</v>
      </c>
      <c r="D27" s="14">
        <f>20</f>
        <v>20</v>
      </c>
      <c r="E27" s="318"/>
      <c r="F27" s="265">
        <f t="shared" si="1"/>
        <v>0</v>
      </c>
      <c r="G27" s="13"/>
      <c r="H27" s="248">
        <f t="shared" si="0"/>
        <v>0</v>
      </c>
      <c r="I27" s="11"/>
      <c r="J27" s="14"/>
    </row>
    <row r="28" spans="1:10" ht="48" customHeight="1">
      <c r="A28" s="31">
        <v>8</v>
      </c>
      <c r="B28" s="10" t="s">
        <v>53</v>
      </c>
      <c r="C28" s="14" t="s">
        <v>10</v>
      </c>
      <c r="D28" s="14">
        <f>20</f>
        <v>20</v>
      </c>
      <c r="E28" s="318"/>
      <c r="F28" s="265">
        <f t="shared" si="1"/>
        <v>0</v>
      </c>
      <c r="G28" s="13"/>
      <c r="H28" s="248">
        <f t="shared" si="0"/>
        <v>0</v>
      </c>
      <c r="I28" s="11"/>
      <c r="J28" s="14"/>
    </row>
    <row r="29" spans="1:10" ht="51">
      <c r="A29" s="31">
        <v>9</v>
      </c>
      <c r="B29" s="10" t="s">
        <v>282</v>
      </c>
      <c r="C29" s="14" t="s">
        <v>10</v>
      </c>
      <c r="D29" s="14">
        <f>20</f>
        <v>20</v>
      </c>
      <c r="E29" s="318"/>
      <c r="F29" s="265">
        <f t="shared" si="1"/>
        <v>0</v>
      </c>
      <c r="G29" s="13"/>
      <c r="H29" s="248">
        <f t="shared" si="0"/>
        <v>0</v>
      </c>
      <c r="I29" s="11"/>
      <c r="J29" s="14"/>
    </row>
    <row r="30" spans="1:10" ht="51">
      <c r="A30" s="31">
        <v>10</v>
      </c>
      <c r="B30" s="10" t="s">
        <v>284</v>
      </c>
      <c r="C30" s="14" t="s">
        <v>10</v>
      </c>
      <c r="D30" s="14">
        <f>20</f>
        <v>20</v>
      </c>
      <c r="E30" s="318"/>
      <c r="F30" s="265">
        <f t="shared" si="1"/>
        <v>0</v>
      </c>
      <c r="G30" s="13"/>
      <c r="H30" s="248">
        <f t="shared" si="0"/>
        <v>0</v>
      </c>
      <c r="I30" s="11"/>
      <c r="J30" s="14"/>
    </row>
    <row r="31" spans="1:10" ht="63.75">
      <c r="A31" s="31">
        <v>11</v>
      </c>
      <c r="B31" s="10" t="s">
        <v>54</v>
      </c>
      <c r="C31" s="14" t="s">
        <v>10</v>
      </c>
      <c r="D31" s="14">
        <f>30</f>
        <v>30</v>
      </c>
      <c r="E31" s="318"/>
      <c r="F31" s="265">
        <f t="shared" si="1"/>
        <v>0</v>
      </c>
      <c r="G31" s="13"/>
      <c r="H31" s="248">
        <f t="shared" si="0"/>
        <v>0</v>
      </c>
      <c r="I31" s="11"/>
      <c r="J31" s="14"/>
    </row>
    <row r="32" spans="1:10" ht="58.5" customHeight="1">
      <c r="A32" s="31">
        <v>12</v>
      </c>
      <c r="B32" s="10" t="s">
        <v>55</v>
      </c>
      <c r="C32" s="14" t="s">
        <v>10</v>
      </c>
      <c r="D32" s="14">
        <f>30+50</f>
        <v>80</v>
      </c>
      <c r="E32" s="318"/>
      <c r="F32" s="265">
        <f t="shared" si="1"/>
        <v>0</v>
      </c>
      <c r="G32" s="13"/>
      <c r="H32" s="248">
        <f t="shared" si="0"/>
        <v>0</v>
      </c>
      <c r="I32" s="11"/>
      <c r="J32" s="14"/>
    </row>
    <row r="33" spans="1:10" ht="67.5" customHeight="1">
      <c r="A33" s="31">
        <v>13</v>
      </c>
      <c r="B33" s="10" t="s">
        <v>56</v>
      </c>
      <c r="C33" s="14" t="s">
        <v>10</v>
      </c>
      <c r="D33" s="14">
        <f>20+100+30+100+800+1500+50</f>
        <v>2600</v>
      </c>
      <c r="E33" s="318"/>
      <c r="F33" s="265">
        <f t="shared" si="1"/>
        <v>0</v>
      </c>
      <c r="G33" s="13"/>
      <c r="H33" s="248">
        <f t="shared" si="0"/>
        <v>0</v>
      </c>
      <c r="I33" s="11"/>
      <c r="J33" s="14"/>
    </row>
    <row r="34" spans="1:10" ht="63.75">
      <c r="A34" s="31">
        <v>14</v>
      </c>
      <c r="B34" s="10" t="s">
        <v>57</v>
      </c>
      <c r="C34" s="14" t="s">
        <v>10</v>
      </c>
      <c r="D34" s="14">
        <f>100+10+50+1500+20000+600+500+100+1100+500+500+500+40</f>
        <v>25500</v>
      </c>
      <c r="E34" s="318"/>
      <c r="F34" s="265">
        <f t="shared" si="1"/>
        <v>0</v>
      </c>
      <c r="G34" s="13"/>
      <c r="H34" s="248">
        <f t="shared" si="0"/>
        <v>0</v>
      </c>
      <c r="I34" s="11"/>
      <c r="J34" s="14"/>
    </row>
    <row r="35" spans="1:10" ht="76.5">
      <c r="A35" s="31">
        <v>15</v>
      </c>
      <c r="B35" s="10" t="s">
        <v>58</v>
      </c>
      <c r="C35" s="14" t="s">
        <v>10</v>
      </c>
      <c r="D35" s="14">
        <f>2000+500</f>
        <v>2500</v>
      </c>
      <c r="E35" s="318"/>
      <c r="F35" s="265">
        <f t="shared" si="1"/>
        <v>0</v>
      </c>
      <c r="G35" s="13"/>
      <c r="H35" s="248">
        <f t="shared" si="0"/>
        <v>0</v>
      </c>
      <c r="I35" s="11"/>
      <c r="J35" s="14"/>
    </row>
    <row r="36" spans="1:10" ht="33.75" customHeight="1">
      <c r="A36" s="31">
        <v>16</v>
      </c>
      <c r="B36" s="10" t="s">
        <v>59</v>
      </c>
      <c r="C36" s="14" t="s">
        <v>10</v>
      </c>
      <c r="D36" s="14">
        <f>500+800+500</f>
        <v>1800</v>
      </c>
      <c r="E36" s="318"/>
      <c r="F36" s="265">
        <f t="shared" si="1"/>
        <v>0</v>
      </c>
      <c r="G36" s="13"/>
      <c r="H36" s="248">
        <f t="shared" si="0"/>
        <v>0</v>
      </c>
      <c r="I36" s="11"/>
      <c r="J36" s="14"/>
    </row>
    <row r="37" spans="1:10" ht="58.5" customHeight="1">
      <c r="A37" s="31">
        <v>17</v>
      </c>
      <c r="B37" s="10" t="s">
        <v>60</v>
      </c>
      <c r="C37" s="14" t="s">
        <v>10</v>
      </c>
      <c r="D37" s="14">
        <f>20+30+80+500</f>
        <v>630</v>
      </c>
      <c r="E37" s="318"/>
      <c r="F37" s="265">
        <f t="shared" si="1"/>
        <v>0</v>
      </c>
      <c r="G37" s="13"/>
      <c r="H37" s="248">
        <f t="shared" si="0"/>
        <v>0</v>
      </c>
      <c r="I37" s="11"/>
      <c r="J37" s="14"/>
    </row>
    <row r="38" spans="1:10" ht="38.25">
      <c r="A38" s="31">
        <v>18</v>
      </c>
      <c r="B38" s="10" t="s">
        <v>61</v>
      </c>
      <c r="C38" s="14" t="s">
        <v>10</v>
      </c>
      <c r="D38" s="14">
        <f>10+40+200</f>
        <v>250</v>
      </c>
      <c r="E38" s="318"/>
      <c r="F38" s="265">
        <f t="shared" si="1"/>
        <v>0</v>
      </c>
      <c r="G38" s="13"/>
      <c r="H38" s="248">
        <f t="shared" si="0"/>
        <v>0</v>
      </c>
      <c r="I38" s="11"/>
      <c r="J38" s="14"/>
    </row>
    <row r="39" spans="1:10" ht="70.5" customHeight="1">
      <c r="A39" s="31">
        <v>19</v>
      </c>
      <c r="B39" s="10" t="s">
        <v>62</v>
      </c>
      <c r="C39" s="14" t="s">
        <v>10</v>
      </c>
      <c r="D39" s="14">
        <f>180+100+1000+20</f>
        <v>1300</v>
      </c>
      <c r="E39" s="318"/>
      <c r="F39" s="265">
        <f t="shared" si="1"/>
        <v>0</v>
      </c>
      <c r="G39" s="13"/>
      <c r="H39" s="248">
        <f t="shared" si="0"/>
        <v>0</v>
      </c>
      <c r="I39" s="11"/>
      <c r="J39" s="14"/>
    </row>
    <row r="40" spans="1:10" ht="43.5" customHeight="1">
      <c r="A40" s="31">
        <v>20</v>
      </c>
      <c r="B40" s="10" t="s">
        <v>63</v>
      </c>
      <c r="C40" s="14" t="s">
        <v>10</v>
      </c>
      <c r="D40" s="14">
        <f>20+20+200</f>
        <v>240</v>
      </c>
      <c r="E40" s="318"/>
      <c r="F40" s="265">
        <f t="shared" si="1"/>
        <v>0</v>
      </c>
      <c r="G40" s="13"/>
      <c r="H40" s="248">
        <f t="shared" si="0"/>
        <v>0</v>
      </c>
      <c r="I40" s="11"/>
      <c r="J40" s="14"/>
    </row>
    <row r="41" spans="1:10" ht="38.25">
      <c r="A41" s="31">
        <v>21</v>
      </c>
      <c r="B41" s="10" t="s">
        <v>64</v>
      </c>
      <c r="C41" s="14" t="s">
        <v>65</v>
      </c>
      <c r="D41" s="14">
        <f>2+14+2+5+3+3+1+6+4</f>
        <v>40</v>
      </c>
      <c r="E41" s="318"/>
      <c r="F41" s="265">
        <f t="shared" si="1"/>
        <v>0</v>
      </c>
      <c r="G41" s="13"/>
      <c r="H41" s="248">
        <f t="shared" si="0"/>
        <v>0</v>
      </c>
      <c r="I41" s="11"/>
      <c r="J41" s="14"/>
    </row>
    <row r="42" spans="1:10" ht="43.5" customHeight="1">
      <c r="A42" s="31">
        <v>22</v>
      </c>
      <c r="B42" s="10" t="s">
        <v>66</v>
      </c>
      <c r="C42" s="14" t="s">
        <v>10</v>
      </c>
      <c r="D42" s="14">
        <f>50+50+50+150</f>
        <v>300</v>
      </c>
      <c r="E42" s="318"/>
      <c r="F42" s="265">
        <f t="shared" si="1"/>
        <v>0</v>
      </c>
      <c r="G42" s="13"/>
      <c r="H42" s="248">
        <f t="shared" si="0"/>
        <v>0</v>
      </c>
      <c r="I42" s="11"/>
      <c r="J42" s="14"/>
    </row>
    <row r="43" spans="1:10" ht="45.75" customHeight="1">
      <c r="A43" s="31">
        <v>23</v>
      </c>
      <c r="B43" s="10" t="s">
        <v>67</v>
      </c>
      <c r="C43" s="14" t="s">
        <v>10</v>
      </c>
      <c r="D43" s="14">
        <f>100+50+50</f>
        <v>200</v>
      </c>
      <c r="E43" s="318"/>
      <c r="F43" s="265">
        <f t="shared" si="1"/>
        <v>0</v>
      </c>
      <c r="G43" s="13"/>
      <c r="H43" s="248">
        <f t="shared" si="0"/>
        <v>0</v>
      </c>
      <c r="I43" s="11"/>
      <c r="J43" s="14"/>
    </row>
    <row r="44" spans="1:10" ht="39" customHeight="1">
      <c r="A44" s="31">
        <v>24</v>
      </c>
      <c r="B44" s="10" t="s">
        <v>68</v>
      </c>
      <c r="C44" s="14" t="s">
        <v>10</v>
      </c>
      <c r="D44" s="14">
        <f>50+100+2000+800+800+1500+50</f>
        <v>5300</v>
      </c>
      <c r="E44" s="318"/>
      <c r="F44" s="265">
        <f t="shared" si="1"/>
        <v>0</v>
      </c>
      <c r="G44" s="13"/>
      <c r="H44" s="248">
        <f t="shared" si="0"/>
        <v>0</v>
      </c>
      <c r="I44" s="11"/>
      <c r="J44" s="14"/>
    </row>
    <row r="45" spans="1:10" ht="68.25" customHeight="1">
      <c r="A45" s="31">
        <v>25</v>
      </c>
      <c r="B45" s="10" t="s">
        <v>287</v>
      </c>
      <c r="C45" s="14" t="s">
        <v>10</v>
      </c>
      <c r="D45" s="14">
        <f>30+10</f>
        <v>40</v>
      </c>
      <c r="E45" s="318"/>
      <c r="F45" s="265">
        <f t="shared" si="1"/>
        <v>0</v>
      </c>
      <c r="G45" s="13"/>
      <c r="H45" s="248">
        <f t="shared" si="0"/>
        <v>0</v>
      </c>
      <c r="I45" s="11"/>
      <c r="J45" s="14"/>
    </row>
    <row r="46" spans="1:10" ht="57" customHeight="1">
      <c r="A46" s="31">
        <v>26</v>
      </c>
      <c r="B46" s="10" t="s">
        <v>69</v>
      </c>
      <c r="C46" s="14" t="s">
        <v>10</v>
      </c>
      <c r="D46" s="14">
        <f>500+100+2000</f>
        <v>2600</v>
      </c>
      <c r="E46" s="318"/>
      <c r="F46" s="265">
        <f t="shared" si="1"/>
        <v>0</v>
      </c>
      <c r="G46" s="13"/>
      <c r="H46" s="248">
        <f t="shared" si="0"/>
        <v>0</v>
      </c>
      <c r="I46" s="11"/>
      <c r="J46" s="14"/>
    </row>
    <row r="47" spans="1:10" ht="30" customHeight="1">
      <c r="A47" s="31">
        <v>27</v>
      </c>
      <c r="B47" s="10" t="s">
        <v>70</v>
      </c>
      <c r="C47" s="14" t="s">
        <v>10</v>
      </c>
      <c r="D47" s="14">
        <f>200+1000+10+50+40</f>
        <v>1300</v>
      </c>
      <c r="E47" s="318"/>
      <c r="F47" s="265">
        <f t="shared" si="1"/>
        <v>0</v>
      </c>
      <c r="G47" s="13"/>
      <c r="H47" s="248">
        <f t="shared" si="0"/>
        <v>0</v>
      </c>
      <c r="I47" s="11"/>
      <c r="J47" s="14"/>
    </row>
    <row r="48" spans="1:10" ht="62.25" customHeight="1">
      <c r="A48" s="31">
        <v>28</v>
      </c>
      <c r="B48" s="10" t="s">
        <v>71</v>
      </c>
      <c r="C48" s="14" t="s">
        <v>10</v>
      </c>
      <c r="D48" s="14">
        <f>1000+100</f>
        <v>1100</v>
      </c>
      <c r="E48" s="318"/>
      <c r="F48" s="265">
        <f t="shared" si="1"/>
        <v>0</v>
      </c>
      <c r="G48" s="13"/>
      <c r="H48" s="248">
        <f t="shared" si="0"/>
        <v>0</v>
      </c>
      <c r="I48" s="11"/>
      <c r="J48" s="14"/>
    </row>
    <row r="49" spans="1:10" ht="77.25" customHeight="1">
      <c r="A49" s="31">
        <v>29</v>
      </c>
      <c r="B49" s="10" t="s">
        <v>72</v>
      </c>
      <c r="C49" s="14" t="s">
        <v>10</v>
      </c>
      <c r="D49" s="14">
        <f>100+100+50+1000+300+700+10+10+30</f>
        <v>2300</v>
      </c>
      <c r="E49" s="318"/>
      <c r="F49" s="265">
        <f t="shared" si="1"/>
        <v>0</v>
      </c>
      <c r="G49" s="13"/>
      <c r="H49" s="248">
        <f t="shared" si="0"/>
        <v>0</v>
      </c>
      <c r="I49" s="11"/>
      <c r="J49" s="14"/>
    </row>
    <row r="50" spans="1:10" ht="74.25" customHeight="1">
      <c r="A50" s="31">
        <v>30</v>
      </c>
      <c r="B50" s="10" t="s">
        <v>73</v>
      </c>
      <c r="C50" s="14" t="s">
        <v>10</v>
      </c>
      <c r="D50" s="14">
        <f>50+100+20+50+50+30</f>
        <v>300</v>
      </c>
      <c r="E50" s="318"/>
      <c r="F50" s="265">
        <f t="shared" si="1"/>
        <v>0</v>
      </c>
      <c r="G50" s="13"/>
      <c r="H50" s="248">
        <f t="shared" si="0"/>
        <v>0</v>
      </c>
      <c r="I50" s="11"/>
      <c r="J50" s="14"/>
    </row>
    <row r="51" spans="1:10" ht="97.5" customHeight="1">
      <c r="A51" s="31">
        <v>31</v>
      </c>
      <c r="B51" s="10" t="s">
        <v>74</v>
      </c>
      <c r="C51" s="14" t="s">
        <v>10</v>
      </c>
      <c r="D51" s="14">
        <f>20+50+30</f>
        <v>100</v>
      </c>
      <c r="E51" s="318"/>
      <c r="F51" s="265">
        <f t="shared" si="1"/>
        <v>0</v>
      </c>
      <c r="G51" s="13"/>
      <c r="H51" s="248">
        <f t="shared" si="0"/>
        <v>0</v>
      </c>
      <c r="I51" s="11"/>
      <c r="J51" s="14"/>
    </row>
    <row r="52" spans="1:10" ht="84.75" customHeight="1">
      <c r="A52" s="31">
        <v>32</v>
      </c>
      <c r="B52" s="10" t="s">
        <v>75</v>
      </c>
      <c r="C52" s="14" t="s">
        <v>10</v>
      </c>
      <c r="D52" s="14">
        <f>5+5</f>
        <v>10</v>
      </c>
      <c r="E52" s="318"/>
      <c r="F52" s="265">
        <f t="shared" si="1"/>
        <v>0</v>
      </c>
      <c r="G52" s="13"/>
      <c r="H52" s="248">
        <f t="shared" si="0"/>
        <v>0</v>
      </c>
      <c r="I52" s="11"/>
      <c r="J52" s="14"/>
    </row>
    <row r="53" spans="1:10" ht="45.75" customHeight="1">
      <c r="A53" s="31">
        <v>33</v>
      </c>
      <c r="B53" s="10" t="s">
        <v>76</v>
      </c>
      <c r="C53" s="14" t="s">
        <v>10</v>
      </c>
      <c r="D53" s="14">
        <f>500</f>
        <v>500</v>
      </c>
      <c r="E53" s="318"/>
      <c r="F53" s="265">
        <f t="shared" si="1"/>
        <v>0</v>
      </c>
      <c r="G53" s="13"/>
      <c r="H53" s="248">
        <f t="shared" si="0"/>
        <v>0</v>
      </c>
      <c r="I53" s="11"/>
      <c r="J53" s="14"/>
    </row>
    <row r="54" spans="1:10" ht="36.75" customHeight="1">
      <c r="A54" s="31">
        <v>34</v>
      </c>
      <c r="B54" s="10" t="s">
        <v>77</v>
      </c>
      <c r="C54" s="14" t="s">
        <v>10</v>
      </c>
      <c r="D54" s="14">
        <f>5</f>
        <v>5</v>
      </c>
      <c r="E54" s="319"/>
      <c r="F54" s="265">
        <f t="shared" si="1"/>
        <v>0</v>
      </c>
      <c r="G54" s="13"/>
      <c r="H54" s="248">
        <f t="shared" si="0"/>
        <v>0</v>
      </c>
      <c r="I54" s="11"/>
      <c r="J54" s="14"/>
    </row>
    <row r="55" spans="1:10" ht="36" customHeight="1">
      <c r="A55" s="31">
        <v>35</v>
      </c>
      <c r="B55" s="10" t="s">
        <v>78</v>
      </c>
      <c r="C55" s="14" t="s">
        <v>10</v>
      </c>
      <c r="D55" s="14">
        <f>5</f>
        <v>5</v>
      </c>
      <c r="E55" s="319"/>
      <c r="F55" s="265">
        <f t="shared" si="1"/>
        <v>0</v>
      </c>
      <c r="G55" s="13"/>
      <c r="H55" s="248">
        <f t="shared" si="0"/>
        <v>0</v>
      </c>
      <c r="I55" s="11"/>
      <c r="J55" s="14"/>
    </row>
    <row r="56" spans="1:10" ht="33.75" customHeight="1">
      <c r="A56" s="31">
        <v>36</v>
      </c>
      <c r="B56" s="10" t="s">
        <v>79</v>
      </c>
      <c r="C56" s="14" t="s">
        <v>10</v>
      </c>
      <c r="D56" s="14">
        <f>5</f>
        <v>5</v>
      </c>
      <c r="E56" s="319"/>
      <c r="F56" s="265">
        <f t="shared" si="1"/>
        <v>0</v>
      </c>
      <c r="G56" s="13"/>
      <c r="H56" s="248">
        <f t="shared" si="0"/>
        <v>0</v>
      </c>
      <c r="I56" s="11"/>
      <c r="J56" s="14"/>
    </row>
    <row r="57" spans="1:10" ht="46.5" customHeight="1">
      <c r="A57" s="31">
        <v>37</v>
      </c>
      <c r="B57" s="10" t="s">
        <v>80</v>
      </c>
      <c r="C57" s="14" t="s">
        <v>10</v>
      </c>
      <c r="D57" s="14">
        <f>20+10</f>
        <v>30</v>
      </c>
      <c r="E57" s="318"/>
      <c r="F57" s="265">
        <f t="shared" si="1"/>
        <v>0</v>
      </c>
      <c r="G57" s="13"/>
      <c r="H57" s="248">
        <f t="shared" si="0"/>
        <v>0</v>
      </c>
      <c r="I57" s="11"/>
      <c r="J57" s="14"/>
    </row>
    <row r="58" spans="1:10" ht="60" customHeight="1">
      <c r="A58" s="31">
        <v>38</v>
      </c>
      <c r="B58" s="10" t="s">
        <v>81</v>
      </c>
      <c r="C58" s="14" t="s">
        <v>10</v>
      </c>
      <c r="D58" s="14">
        <f>720+500+5+200+2700+20+300+20+1200+300+1800+105+130</f>
        <v>8000</v>
      </c>
      <c r="E58" s="318"/>
      <c r="F58" s="265">
        <f t="shared" si="1"/>
        <v>0</v>
      </c>
      <c r="G58" s="13"/>
      <c r="H58" s="248">
        <f t="shared" si="0"/>
        <v>0</v>
      </c>
      <c r="I58" s="11"/>
      <c r="J58" s="14"/>
    </row>
    <row r="59" spans="1:10" ht="38.25">
      <c r="A59" s="31">
        <v>39</v>
      </c>
      <c r="B59" s="10" t="s">
        <v>279</v>
      </c>
      <c r="C59" s="14" t="s">
        <v>10</v>
      </c>
      <c r="D59" s="14">
        <v>10</v>
      </c>
      <c r="E59" s="318"/>
      <c r="F59" s="265">
        <f>D59*E59</f>
        <v>0</v>
      </c>
      <c r="G59" s="13"/>
      <c r="H59" s="248">
        <f t="shared" si="0"/>
        <v>0</v>
      </c>
      <c r="I59" s="11"/>
      <c r="J59" s="14"/>
    </row>
    <row r="60" spans="1:10" ht="38.25">
      <c r="A60" s="31">
        <v>40</v>
      </c>
      <c r="B60" s="10" t="s">
        <v>280</v>
      </c>
      <c r="C60" s="14" t="s">
        <v>10</v>
      </c>
      <c r="D60" s="14">
        <v>10</v>
      </c>
      <c r="E60" s="318"/>
      <c r="F60" s="265">
        <f>D60*E60</f>
        <v>0</v>
      </c>
      <c r="G60" s="13"/>
      <c r="H60" s="248">
        <f t="shared" si="0"/>
        <v>0</v>
      </c>
      <c r="I60" s="11"/>
      <c r="J60" s="14"/>
    </row>
    <row r="61" spans="1:10" ht="14.25">
      <c r="A61" s="31"/>
      <c r="B61" s="9" t="s">
        <v>11</v>
      </c>
      <c r="C61" s="24"/>
      <c r="D61" s="24"/>
      <c r="E61" s="24"/>
      <c r="F61" s="271">
        <f>SUM(F21:F60)</f>
        <v>0</v>
      </c>
      <c r="G61" s="25"/>
      <c r="H61" s="248">
        <f t="shared" si="0"/>
        <v>0</v>
      </c>
      <c r="I61" s="24"/>
      <c r="J61" s="24"/>
    </row>
    <row r="62" spans="1:10" ht="14.25">
      <c r="A62" s="4"/>
      <c r="B62" s="4"/>
      <c r="C62" s="5"/>
      <c r="D62" s="5"/>
      <c r="E62" s="5"/>
      <c r="F62" s="5"/>
      <c r="G62" s="5"/>
      <c r="H62" s="5"/>
      <c r="I62" s="5"/>
      <c r="J62" s="58"/>
    </row>
    <row r="63" spans="1:10" ht="14.25">
      <c r="A63" s="4"/>
      <c r="B63" s="4"/>
      <c r="C63" s="5"/>
      <c r="D63" s="5"/>
      <c r="E63" s="5"/>
      <c r="F63" s="5"/>
      <c r="G63" s="5"/>
      <c r="H63" s="5"/>
      <c r="I63" s="334" t="s">
        <v>12</v>
      </c>
      <c r="J63" s="334"/>
    </row>
    <row r="64" spans="1:10" ht="14.25">
      <c r="A64" s="4"/>
      <c r="B64" s="4"/>
      <c r="C64" s="5"/>
      <c r="D64" s="5"/>
      <c r="E64" s="5"/>
      <c r="F64" s="5"/>
      <c r="G64" s="5"/>
      <c r="H64" s="5"/>
      <c r="I64" s="334" t="s">
        <v>13</v>
      </c>
      <c r="J64" s="334"/>
    </row>
    <row r="65" spans="1:10" ht="15">
      <c r="A65" s="26" t="s">
        <v>308</v>
      </c>
      <c r="B65" s="4"/>
      <c r="C65" s="5"/>
      <c r="D65" s="5"/>
      <c r="E65" s="5"/>
      <c r="F65" s="5"/>
      <c r="G65" s="5"/>
      <c r="H65" s="5"/>
      <c r="I65" s="5"/>
      <c r="J65" s="58"/>
    </row>
    <row r="66" spans="1:10" ht="38.25">
      <c r="A66" s="28" t="s">
        <v>0</v>
      </c>
      <c r="B66" s="28" t="s">
        <v>1</v>
      </c>
      <c r="C66" s="28" t="s">
        <v>2</v>
      </c>
      <c r="D66" s="28" t="s">
        <v>3</v>
      </c>
      <c r="E66" s="28" t="s">
        <v>4</v>
      </c>
      <c r="F66" s="28" t="s">
        <v>5</v>
      </c>
      <c r="G66" s="28" t="s">
        <v>6</v>
      </c>
      <c r="H66" s="28" t="s">
        <v>7</v>
      </c>
      <c r="I66" s="30" t="s">
        <v>8</v>
      </c>
      <c r="J66" s="28" t="s">
        <v>9</v>
      </c>
    </row>
    <row r="67" spans="1:10" ht="31.5" customHeight="1">
      <c r="A67" s="31">
        <v>1</v>
      </c>
      <c r="B67" s="84" t="s">
        <v>82</v>
      </c>
      <c r="C67" s="14" t="s">
        <v>10</v>
      </c>
      <c r="D67" s="85">
        <v>5</v>
      </c>
      <c r="E67" s="85"/>
      <c r="F67" s="276">
        <f aca="true" t="shared" si="2" ref="F67:F73">D67*E67</f>
        <v>0</v>
      </c>
      <c r="G67" s="242"/>
      <c r="H67" s="248">
        <f aca="true" t="shared" si="3" ref="H67:H73">F67+(F67*G67)</f>
        <v>0</v>
      </c>
      <c r="I67" s="87"/>
      <c r="J67" s="86"/>
    </row>
    <row r="68" spans="1:10" ht="33" customHeight="1">
      <c r="A68" s="31">
        <v>2</v>
      </c>
      <c r="B68" s="84" t="s">
        <v>83</v>
      </c>
      <c r="C68" s="14" t="s">
        <v>10</v>
      </c>
      <c r="D68" s="85">
        <v>2</v>
      </c>
      <c r="E68" s="85"/>
      <c r="F68" s="276">
        <f t="shared" si="2"/>
        <v>0</v>
      </c>
      <c r="G68" s="242"/>
      <c r="H68" s="248">
        <f t="shared" si="3"/>
        <v>0</v>
      </c>
      <c r="I68" s="87"/>
      <c r="J68" s="86"/>
    </row>
    <row r="69" spans="1:10" ht="34.5" customHeight="1">
      <c r="A69" s="31">
        <v>3</v>
      </c>
      <c r="B69" s="10" t="s">
        <v>84</v>
      </c>
      <c r="C69" s="14" t="s">
        <v>10</v>
      </c>
      <c r="D69" s="14">
        <v>1</v>
      </c>
      <c r="E69" s="318"/>
      <c r="F69" s="276">
        <f t="shared" si="2"/>
        <v>0</v>
      </c>
      <c r="G69" s="242"/>
      <c r="H69" s="248">
        <f t="shared" si="3"/>
        <v>0</v>
      </c>
      <c r="I69" s="11"/>
      <c r="J69" s="14"/>
    </row>
    <row r="70" spans="1:10" ht="34.5" customHeight="1">
      <c r="A70" s="31">
        <v>4</v>
      </c>
      <c r="B70" s="261" t="s">
        <v>274</v>
      </c>
      <c r="C70" s="14" t="s">
        <v>10</v>
      </c>
      <c r="D70" s="14">
        <v>3</v>
      </c>
      <c r="E70" s="318"/>
      <c r="F70" s="276">
        <f t="shared" si="2"/>
        <v>0</v>
      </c>
      <c r="G70" s="242"/>
      <c r="H70" s="248">
        <f t="shared" si="3"/>
        <v>0</v>
      </c>
      <c r="I70" s="11"/>
      <c r="J70" s="14"/>
    </row>
    <row r="71" spans="1:10" ht="34.5" customHeight="1">
      <c r="A71" s="282">
        <v>5</v>
      </c>
      <c r="B71" s="284" t="s">
        <v>275</v>
      </c>
      <c r="C71" s="283" t="s">
        <v>10</v>
      </c>
      <c r="D71" s="14">
        <v>3</v>
      </c>
      <c r="E71" s="318"/>
      <c r="F71" s="276">
        <f t="shared" si="2"/>
        <v>0</v>
      </c>
      <c r="G71" s="242"/>
      <c r="H71" s="248">
        <f t="shared" si="3"/>
        <v>0</v>
      </c>
      <c r="I71" s="11"/>
      <c r="J71" s="14"/>
    </row>
    <row r="72" spans="1:10" ht="34.5" customHeight="1">
      <c r="A72" s="282">
        <v>6</v>
      </c>
      <c r="B72" s="285" t="s">
        <v>276</v>
      </c>
      <c r="C72" s="283" t="s">
        <v>209</v>
      </c>
      <c r="D72" s="14">
        <v>2</v>
      </c>
      <c r="E72" s="318"/>
      <c r="F72" s="276">
        <f t="shared" si="2"/>
        <v>0</v>
      </c>
      <c r="G72" s="242"/>
      <c r="H72" s="248">
        <f t="shared" si="3"/>
        <v>0</v>
      </c>
      <c r="I72" s="11"/>
      <c r="J72" s="14"/>
    </row>
    <row r="73" spans="1:10" ht="14.25">
      <c r="A73" s="31">
        <v>7</v>
      </c>
      <c r="B73" s="262" t="s">
        <v>277</v>
      </c>
      <c r="C73" s="14" t="s">
        <v>209</v>
      </c>
      <c r="D73" s="14">
        <v>1</v>
      </c>
      <c r="E73" s="318"/>
      <c r="F73" s="276">
        <f t="shared" si="2"/>
        <v>0</v>
      </c>
      <c r="G73" s="242"/>
      <c r="H73" s="248">
        <f t="shared" si="3"/>
        <v>0</v>
      </c>
      <c r="I73" s="11"/>
      <c r="J73" s="14"/>
    </row>
    <row r="74" spans="1:10" ht="14.25">
      <c r="A74" s="31"/>
      <c r="B74" s="9" t="s">
        <v>11</v>
      </c>
      <c r="C74" s="24"/>
      <c r="D74" s="24"/>
      <c r="E74" s="24"/>
      <c r="F74" s="271">
        <f>SUM(F67:F73)</f>
        <v>0</v>
      </c>
      <c r="G74" s="25"/>
      <c r="H74" s="271">
        <f>SUM(H67:H73)</f>
        <v>0</v>
      </c>
      <c r="I74" s="24"/>
      <c r="J74" s="24"/>
    </row>
    <row r="75" spans="1:10" ht="14.25">
      <c r="A75" s="4"/>
      <c r="B75" s="4"/>
      <c r="C75" s="5"/>
      <c r="D75" s="5"/>
      <c r="E75" s="5"/>
      <c r="F75" s="5"/>
      <c r="G75" s="5"/>
      <c r="H75" s="275"/>
      <c r="I75" s="5"/>
      <c r="J75" s="54"/>
    </row>
    <row r="76" spans="1:10" ht="14.25">
      <c r="A76" s="4"/>
      <c r="B76" s="4"/>
      <c r="C76" s="5"/>
      <c r="D76" s="5"/>
      <c r="E76" s="5"/>
      <c r="F76" s="5"/>
      <c r="G76" s="5"/>
      <c r="H76" s="5"/>
      <c r="I76" s="5"/>
      <c r="J76" s="54"/>
    </row>
    <row r="77" spans="1:10" ht="14.25">
      <c r="A77" s="4"/>
      <c r="B77" s="4"/>
      <c r="C77" s="5"/>
      <c r="D77" s="5"/>
      <c r="E77" s="5"/>
      <c r="F77" s="5"/>
      <c r="G77" s="5"/>
      <c r="H77" s="5"/>
      <c r="I77" s="334" t="s">
        <v>12</v>
      </c>
      <c r="J77" s="334"/>
    </row>
    <row r="78" spans="1:10" ht="14.25">
      <c r="A78" s="4"/>
      <c r="B78" s="4"/>
      <c r="C78" s="5"/>
      <c r="D78" s="5"/>
      <c r="E78" s="5"/>
      <c r="F78" s="5"/>
      <c r="G78" s="5"/>
      <c r="H78" s="5"/>
      <c r="I78" s="334" t="s">
        <v>13</v>
      </c>
      <c r="J78" s="334"/>
    </row>
    <row r="79" spans="1:10" ht="15">
      <c r="A79" s="26" t="s">
        <v>309</v>
      </c>
      <c r="B79" s="4"/>
      <c r="C79" s="5"/>
      <c r="D79" s="5"/>
      <c r="E79" s="5"/>
      <c r="F79" s="5"/>
      <c r="G79" s="5"/>
      <c r="H79" s="5"/>
      <c r="I79" s="5"/>
      <c r="J79" s="4"/>
    </row>
    <row r="80" spans="1:10" ht="38.25">
      <c r="A80" s="28" t="s">
        <v>0</v>
      </c>
      <c r="B80" s="28" t="s">
        <v>1</v>
      </c>
      <c r="C80" s="28" t="s">
        <v>2</v>
      </c>
      <c r="D80" s="28" t="s">
        <v>3</v>
      </c>
      <c r="E80" s="28" t="s">
        <v>4</v>
      </c>
      <c r="F80" s="28" t="s">
        <v>5</v>
      </c>
      <c r="G80" s="28" t="s">
        <v>6</v>
      </c>
      <c r="H80" s="28" t="s">
        <v>7</v>
      </c>
      <c r="I80" s="30" t="s">
        <v>8</v>
      </c>
      <c r="J80" s="28" t="s">
        <v>9</v>
      </c>
    </row>
    <row r="81" spans="1:10" ht="47.25" customHeight="1">
      <c r="A81" s="31">
        <v>1</v>
      </c>
      <c r="B81" s="10" t="s">
        <v>85</v>
      </c>
      <c r="C81" s="14" t="s">
        <v>10</v>
      </c>
      <c r="D81" s="14">
        <v>50</v>
      </c>
      <c r="E81" s="320"/>
      <c r="F81" s="265">
        <f>D81*E81</f>
        <v>0</v>
      </c>
      <c r="G81" s="13"/>
      <c r="H81" s="248">
        <f>F81+(F81*G81)</f>
        <v>0</v>
      </c>
      <c r="I81" s="11"/>
      <c r="J81" s="14"/>
    </row>
    <row r="82" spans="1:10" ht="14.25">
      <c r="A82" s="31"/>
      <c r="B82" s="9" t="s">
        <v>11</v>
      </c>
      <c r="C82" s="24"/>
      <c r="D82" s="24"/>
      <c r="E82" s="24"/>
      <c r="F82" s="271">
        <f>SUM(F81)</f>
        <v>0</v>
      </c>
      <c r="G82" s="25"/>
      <c r="H82" s="271">
        <f>SUM(H81)</f>
        <v>0</v>
      </c>
      <c r="I82" s="24"/>
      <c r="J82" s="24"/>
    </row>
    <row r="83" spans="1:10" ht="14.25">
      <c r="A83" s="4"/>
      <c r="B83" s="4"/>
      <c r="C83" s="5"/>
      <c r="D83" s="5"/>
      <c r="E83" s="5"/>
      <c r="F83" s="5"/>
      <c r="G83" s="5"/>
      <c r="H83" s="5"/>
      <c r="I83" s="5"/>
      <c r="J83" s="58"/>
    </row>
    <row r="84" spans="1:10" ht="14.25">
      <c r="A84" s="4"/>
      <c r="B84" s="4"/>
      <c r="C84" s="5"/>
      <c r="D84" s="5"/>
      <c r="E84" s="5"/>
      <c r="F84" s="5"/>
      <c r="G84" s="5"/>
      <c r="H84" s="5"/>
      <c r="I84" s="5"/>
      <c r="J84" s="58"/>
    </row>
    <row r="85" spans="1:10" ht="14.25">
      <c r="A85" s="4"/>
      <c r="B85" s="4"/>
      <c r="C85" s="5"/>
      <c r="D85" s="5"/>
      <c r="E85" s="5"/>
      <c r="F85" s="5"/>
      <c r="G85" s="5"/>
      <c r="H85" s="5"/>
      <c r="I85" s="334" t="s">
        <v>12</v>
      </c>
      <c r="J85" s="334"/>
    </row>
    <row r="86" spans="1:10" ht="14.25">
      <c r="A86" s="4"/>
      <c r="B86" s="4"/>
      <c r="C86" s="5"/>
      <c r="D86" s="5"/>
      <c r="E86" s="5"/>
      <c r="F86" s="5"/>
      <c r="G86" s="5"/>
      <c r="H86" s="5"/>
      <c r="I86" s="334" t="s">
        <v>13</v>
      </c>
      <c r="J86" s="334"/>
    </row>
    <row r="87" spans="1:256" ht="15">
      <c r="A87" s="26" t="s">
        <v>310</v>
      </c>
      <c r="B87" s="4"/>
      <c r="C87" s="4"/>
      <c r="D87" s="4"/>
      <c r="E87" s="4"/>
      <c r="F87" s="5"/>
      <c r="G87" s="4"/>
      <c r="H87" s="4"/>
      <c r="I87" s="4"/>
      <c r="J87" s="4"/>
      <c r="IV87" s="1"/>
    </row>
    <row r="88" spans="1:10" ht="38.25">
      <c r="A88" s="28" t="s">
        <v>0</v>
      </c>
      <c r="B88" s="28" t="s">
        <v>1</v>
      </c>
      <c r="C88" s="28" t="s">
        <v>2</v>
      </c>
      <c r="D88" s="28" t="s">
        <v>3</v>
      </c>
      <c r="E88" s="28" t="s">
        <v>4</v>
      </c>
      <c r="F88" s="28" t="s">
        <v>5</v>
      </c>
      <c r="G88" s="28" t="s">
        <v>6</v>
      </c>
      <c r="H88" s="28" t="s">
        <v>7</v>
      </c>
      <c r="I88" s="30" t="s">
        <v>8</v>
      </c>
      <c r="J88" s="28" t="s">
        <v>9</v>
      </c>
    </row>
    <row r="89" spans="1:10" ht="26.25" customHeight="1">
      <c r="A89" s="31">
        <v>1</v>
      </c>
      <c r="B89" s="10" t="s">
        <v>86</v>
      </c>
      <c r="C89" s="14" t="s">
        <v>10</v>
      </c>
      <c r="D89" s="14">
        <f>4+2+10+8+12+4</f>
        <v>40</v>
      </c>
      <c r="E89" s="319"/>
      <c r="F89" s="270">
        <f aca="true" t="shared" si="4" ref="F89:F94">D89*E89</f>
        <v>0</v>
      </c>
      <c r="G89" s="95"/>
      <c r="H89" s="248">
        <f aca="true" t="shared" si="5" ref="H89:H94">F89+(F89*G89)</f>
        <v>0</v>
      </c>
      <c r="I89" s="38"/>
      <c r="J89" s="38"/>
    </row>
    <row r="90" spans="1:10" ht="27.75" customHeight="1">
      <c r="A90" s="31">
        <v>2</v>
      </c>
      <c r="B90" s="10" t="s">
        <v>87</v>
      </c>
      <c r="C90" s="14" t="s">
        <v>10</v>
      </c>
      <c r="D90" s="14">
        <f>1+4</f>
        <v>5</v>
      </c>
      <c r="E90" s="319"/>
      <c r="F90" s="270">
        <f t="shared" si="4"/>
        <v>0</v>
      </c>
      <c r="G90" s="95"/>
      <c r="H90" s="248">
        <f t="shared" si="5"/>
        <v>0</v>
      </c>
      <c r="I90" s="38"/>
      <c r="J90" s="38"/>
    </row>
    <row r="91" spans="1:10" ht="33" customHeight="1">
      <c r="A91" s="31">
        <v>3</v>
      </c>
      <c r="B91" s="10" t="s">
        <v>88</v>
      </c>
      <c r="C91" s="14" t="s">
        <v>10</v>
      </c>
      <c r="D91" s="14">
        <f>10+5+4+5</f>
        <v>24</v>
      </c>
      <c r="E91" s="319"/>
      <c r="F91" s="270">
        <f t="shared" si="4"/>
        <v>0</v>
      </c>
      <c r="G91" s="95"/>
      <c r="H91" s="248">
        <f t="shared" si="5"/>
        <v>0</v>
      </c>
      <c r="I91" s="38"/>
      <c r="J91" s="38"/>
    </row>
    <row r="92" spans="1:10" ht="55.5" customHeight="1">
      <c r="A92" s="31">
        <v>4</v>
      </c>
      <c r="B92" s="10" t="s">
        <v>89</v>
      </c>
      <c r="C92" s="14" t="s">
        <v>10</v>
      </c>
      <c r="D92" s="14">
        <f>1+5</f>
        <v>6</v>
      </c>
      <c r="E92" s="319"/>
      <c r="F92" s="270">
        <f t="shared" si="4"/>
        <v>0</v>
      </c>
      <c r="G92" s="95"/>
      <c r="H92" s="248">
        <f t="shared" si="5"/>
        <v>0</v>
      </c>
      <c r="I92" s="38"/>
      <c r="J92" s="38"/>
    </row>
    <row r="93" spans="1:10" ht="62.25" customHeight="1">
      <c r="A93" s="31">
        <v>5</v>
      </c>
      <c r="B93" s="10" t="s">
        <v>90</v>
      </c>
      <c r="C93" s="14" t="s">
        <v>10</v>
      </c>
      <c r="D93" s="14">
        <f>1+20+12+1+10+1</f>
        <v>45</v>
      </c>
      <c r="E93" s="319"/>
      <c r="F93" s="270">
        <f t="shared" si="4"/>
        <v>0</v>
      </c>
      <c r="G93" s="95"/>
      <c r="H93" s="248">
        <f t="shared" si="5"/>
        <v>0</v>
      </c>
      <c r="I93" s="38"/>
      <c r="J93" s="38"/>
    </row>
    <row r="94" spans="1:10" ht="82.5" customHeight="1">
      <c r="A94" s="31">
        <v>6</v>
      </c>
      <c r="B94" s="10" t="s">
        <v>91</v>
      </c>
      <c r="C94" s="14" t="s">
        <v>10</v>
      </c>
      <c r="D94" s="14">
        <f>4+4+1+20+5+4+6+5+1</f>
        <v>50</v>
      </c>
      <c r="E94" s="319"/>
      <c r="F94" s="270">
        <f t="shared" si="4"/>
        <v>0</v>
      </c>
      <c r="G94" s="95"/>
      <c r="H94" s="248">
        <f t="shared" si="5"/>
        <v>0</v>
      </c>
      <c r="I94" s="38"/>
      <c r="J94" s="38"/>
    </row>
    <row r="95" spans="1:10" ht="14.25">
      <c r="A95" s="31"/>
      <c r="B95" s="9" t="s">
        <v>11</v>
      </c>
      <c r="C95" s="24"/>
      <c r="D95" s="24"/>
      <c r="E95" s="24"/>
      <c r="F95" s="271">
        <f>SUM(F89:F94)</f>
        <v>0</v>
      </c>
      <c r="G95" s="25"/>
      <c r="H95" s="271">
        <f>SUM(H89:H94)</f>
        <v>0</v>
      </c>
      <c r="I95" s="24"/>
      <c r="J95" s="24"/>
    </row>
    <row r="96" spans="1:10" ht="14.25">
      <c r="A96" s="4"/>
      <c r="B96" s="4"/>
      <c r="C96" s="4"/>
      <c r="D96" s="4"/>
      <c r="E96" s="4"/>
      <c r="F96" s="5"/>
      <c r="G96" s="4"/>
      <c r="H96" s="4"/>
      <c r="I96" s="4"/>
      <c r="J96" s="81"/>
    </row>
    <row r="97" spans="1:10" ht="14.25">
      <c r="A97" s="4"/>
      <c r="B97" s="4"/>
      <c r="C97" s="4"/>
      <c r="D97" s="4"/>
      <c r="E97" s="4"/>
      <c r="F97" s="5"/>
      <c r="G97" s="4"/>
      <c r="H97" s="4"/>
      <c r="I97" s="4"/>
      <c r="J97" s="81"/>
    </row>
    <row r="98" spans="1:10" ht="14.25">
      <c r="A98" s="4"/>
      <c r="B98" s="4"/>
      <c r="C98" s="4"/>
      <c r="D98" s="4"/>
      <c r="E98" s="4"/>
      <c r="F98" s="5"/>
      <c r="G98" s="4"/>
      <c r="H98" s="4"/>
      <c r="I98" s="334" t="s">
        <v>12</v>
      </c>
      <c r="J98" s="334"/>
    </row>
    <row r="99" spans="1:10" ht="14.25">
      <c r="A99" s="4"/>
      <c r="B99" s="4"/>
      <c r="C99" s="4"/>
      <c r="D99" s="4"/>
      <c r="E99" s="4"/>
      <c r="F99" s="5"/>
      <c r="G99" s="4"/>
      <c r="H99" s="4"/>
      <c r="I99" s="334" t="s">
        <v>13</v>
      </c>
      <c r="J99" s="334"/>
    </row>
    <row r="100" spans="1:10" ht="15">
      <c r="A100" s="26" t="s">
        <v>311</v>
      </c>
      <c r="B100" s="4"/>
      <c r="C100" s="82"/>
      <c r="D100" s="5"/>
      <c r="E100" s="5"/>
      <c r="F100" s="5"/>
      <c r="G100" s="5"/>
      <c r="H100" s="5"/>
      <c r="I100" s="5"/>
      <c r="J100" s="4"/>
    </row>
    <row r="101" spans="1:10" ht="38.25">
      <c r="A101" s="28" t="s">
        <v>0</v>
      </c>
      <c r="B101" s="28" t="s">
        <v>1</v>
      </c>
      <c r="C101" s="28" t="s">
        <v>2</v>
      </c>
      <c r="D101" s="28" t="s">
        <v>3</v>
      </c>
      <c r="E101" s="28" t="s">
        <v>4</v>
      </c>
      <c r="F101" s="28" t="s">
        <v>5</v>
      </c>
      <c r="G101" s="28" t="s">
        <v>6</v>
      </c>
      <c r="H101" s="28" t="s">
        <v>7</v>
      </c>
      <c r="I101" s="30" t="s">
        <v>8</v>
      </c>
      <c r="J101" s="28" t="s">
        <v>14</v>
      </c>
    </row>
    <row r="102" spans="1:10" ht="61.5" customHeight="1">
      <c r="A102" s="31">
        <v>1</v>
      </c>
      <c r="B102" s="10" t="s">
        <v>92</v>
      </c>
      <c r="C102" s="14" t="s">
        <v>45</v>
      </c>
      <c r="D102" s="14">
        <v>1500</v>
      </c>
      <c r="E102" s="319"/>
      <c r="F102" s="265">
        <f>D102*E102</f>
        <v>0</v>
      </c>
      <c r="G102" s="95"/>
      <c r="H102" s="248">
        <f>F102+(F102*G102)</f>
        <v>0</v>
      </c>
      <c r="I102" s="38"/>
      <c r="J102" s="38"/>
    </row>
    <row r="103" spans="1:10" ht="14.25">
      <c r="A103" s="31"/>
      <c r="B103" s="9" t="s">
        <v>11</v>
      </c>
      <c r="C103" s="24"/>
      <c r="D103" s="24"/>
      <c r="E103" s="24"/>
      <c r="F103" s="271">
        <f>SUM(F102)</f>
        <v>0</v>
      </c>
      <c r="G103" s="25"/>
      <c r="H103" s="271">
        <f>SUM(H102)</f>
        <v>0</v>
      </c>
      <c r="I103" s="24"/>
      <c r="J103" s="60"/>
    </row>
    <row r="104" spans="1:10" ht="14.25" customHeight="1">
      <c r="A104" s="4"/>
      <c r="B104" s="4"/>
      <c r="C104" s="5"/>
      <c r="D104" s="5"/>
      <c r="E104" s="5"/>
      <c r="F104" s="5"/>
      <c r="G104" s="5"/>
      <c r="H104" s="5"/>
      <c r="I104" s="5"/>
      <c r="J104" s="54"/>
    </row>
    <row r="105" spans="1:10" ht="14.25">
      <c r="A105" s="4"/>
      <c r="B105" s="4"/>
      <c r="C105" s="5"/>
      <c r="D105" s="5"/>
      <c r="E105" s="5"/>
      <c r="F105" s="5"/>
      <c r="G105" s="5"/>
      <c r="H105" s="5"/>
      <c r="I105" s="334" t="s">
        <v>12</v>
      </c>
      <c r="J105" s="334"/>
    </row>
    <row r="106" spans="1:10" ht="14.25">
      <c r="A106" s="4"/>
      <c r="B106" s="4"/>
      <c r="C106" s="5"/>
      <c r="D106" s="5"/>
      <c r="E106" s="5"/>
      <c r="F106" s="5"/>
      <c r="G106" s="5"/>
      <c r="H106" s="5"/>
      <c r="I106" s="334" t="s">
        <v>13</v>
      </c>
      <c r="J106" s="334"/>
    </row>
    <row r="107" spans="1:10" ht="15">
      <c r="A107" s="26" t="s">
        <v>312</v>
      </c>
      <c r="B107" s="55"/>
      <c r="C107" s="53"/>
      <c r="D107" s="53"/>
      <c r="E107" s="53"/>
      <c r="F107" s="53"/>
      <c r="G107" s="53"/>
      <c r="H107" s="53"/>
      <c r="I107" s="53"/>
      <c r="J107" s="55"/>
    </row>
    <row r="108" spans="1:10" ht="38.25">
      <c r="A108" s="28" t="s">
        <v>0</v>
      </c>
      <c r="B108" s="28" t="s">
        <v>1</v>
      </c>
      <c r="C108" s="28" t="s">
        <v>2</v>
      </c>
      <c r="D108" s="28" t="s">
        <v>3</v>
      </c>
      <c r="E108" s="28" t="s">
        <v>4</v>
      </c>
      <c r="F108" s="28" t="s">
        <v>5</v>
      </c>
      <c r="G108" s="28" t="s">
        <v>6</v>
      </c>
      <c r="H108" s="28" t="s">
        <v>7</v>
      </c>
      <c r="I108" s="30" t="s">
        <v>8</v>
      </c>
      <c r="J108" s="28" t="s">
        <v>9</v>
      </c>
    </row>
    <row r="109" spans="1:10" ht="66" customHeight="1">
      <c r="A109" s="31">
        <v>1</v>
      </c>
      <c r="B109" s="10" t="s">
        <v>93</v>
      </c>
      <c r="C109" s="14" t="s">
        <v>10</v>
      </c>
      <c r="D109" s="14">
        <f>100</f>
        <v>100</v>
      </c>
      <c r="E109" s="318"/>
      <c r="F109" s="265">
        <f>D109*E109</f>
        <v>0</v>
      </c>
      <c r="G109" s="13"/>
      <c r="H109" s="248">
        <f>F109+(F109*G109)</f>
        <v>0</v>
      </c>
      <c r="I109" s="11"/>
      <c r="J109" s="14"/>
    </row>
    <row r="110" spans="1:10" ht="14.25">
      <c r="A110" s="31"/>
      <c r="B110" s="9" t="s">
        <v>11</v>
      </c>
      <c r="C110" s="24"/>
      <c r="D110" s="24"/>
      <c r="E110" s="24"/>
      <c r="F110" s="271">
        <f>SUM(F109)</f>
        <v>0</v>
      </c>
      <c r="G110" s="24"/>
      <c r="H110" s="271">
        <f>SUM(H109)</f>
        <v>0</v>
      </c>
      <c r="I110" s="24"/>
      <c r="J110" s="24"/>
    </row>
    <row r="111" spans="1:10" ht="14.25">
      <c r="A111" s="4"/>
      <c r="B111" s="4"/>
      <c r="C111" s="5"/>
      <c r="D111" s="5"/>
      <c r="E111" s="5"/>
      <c r="F111" s="5"/>
      <c r="G111" s="5"/>
      <c r="H111" s="5"/>
      <c r="I111" s="5"/>
      <c r="J111" s="58"/>
    </row>
    <row r="112" spans="1:10" ht="14.25">
      <c r="A112" s="4"/>
      <c r="B112" s="4"/>
      <c r="C112" s="5"/>
      <c r="D112" s="5"/>
      <c r="E112" s="5"/>
      <c r="F112" s="5"/>
      <c r="G112" s="5"/>
      <c r="H112" s="5"/>
      <c r="I112" s="5"/>
      <c r="J112" s="58"/>
    </row>
    <row r="113" spans="1:10" ht="14.25">
      <c r="A113" s="4"/>
      <c r="B113" s="4"/>
      <c r="C113" s="5"/>
      <c r="D113" s="5"/>
      <c r="E113" s="5"/>
      <c r="F113" s="5"/>
      <c r="G113" s="5"/>
      <c r="H113" s="5"/>
      <c r="I113" s="5"/>
      <c r="J113" s="65"/>
    </row>
    <row r="114" spans="1:10" ht="14.25">
      <c r="A114" s="4"/>
      <c r="B114" s="4"/>
      <c r="C114" s="5"/>
      <c r="D114" s="5"/>
      <c r="E114" s="5"/>
      <c r="F114" s="5"/>
      <c r="G114" s="5"/>
      <c r="H114" s="5"/>
      <c r="I114" s="334" t="s">
        <v>12</v>
      </c>
      <c r="J114" s="334"/>
    </row>
    <row r="115" spans="1:10" ht="14.25">
      <c r="A115" s="4"/>
      <c r="B115" s="4"/>
      <c r="C115" s="5"/>
      <c r="D115" s="5"/>
      <c r="E115" s="5"/>
      <c r="F115" s="5"/>
      <c r="G115" s="5"/>
      <c r="H115" s="5"/>
      <c r="I115" s="334" t="s">
        <v>13</v>
      </c>
      <c r="J115" s="334"/>
    </row>
    <row r="116" spans="1:10" ht="15">
      <c r="A116" s="26" t="s">
        <v>313</v>
      </c>
      <c r="B116" s="4"/>
      <c r="C116" s="82"/>
      <c r="D116" s="5"/>
      <c r="E116" s="5"/>
      <c r="F116" s="5"/>
      <c r="G116" s="5"/>
      <c r="H116" s="5"/>
      <c r="I116" s="5"/>
      <c r="J116" s="4"/>
    </row>
    <row r="117" spans="1:10" s="64" customFormat="1" ht="39" customHeight="1">
      <c r="A117" s="28" t="s">
        <v>0</v>
      </c>
      <c r="B117" s="28" t="s">
        <v>1</v>
      </c>
      <c r="C117" s="28" t="s">
        <v>2</v>
      </c>
      <c r="D117" s="28" t="s">
        <v>3</v>
      </c>
      <c r="E117" s="29" t="s">
        <v>4</v>
      </c>
      <c r="F117" s="29" t="s">
        <v>5</v>
      </c>
      <c r="G117" s="29" t="s">
        <v>6</v>
      </c>
      <c r="H117" s="29" t="s">
        <v>7</v>
      </c>
      <c r="I117" s="30" t="s">
        <v>8</v>
      </c>
      <c r="J117" s="28" t="s">
        <v>9</v>
      </c>
    </row>
    <row r="118" spans="1:10" ht="30.75" customHeight="1">
      <c r="A118" s="31">
        <v>1</v>
      </c>
      <c r="B118" s="100" t="s">
        <v>94</v>
      </c>
      <c r="C118" s="14" t="s">
        <v>10</v>
      </c>
      <c r="D118" s="33">
        <v>8</v>
      </c>
      <c r="E118" s="322"/>
      <c r="F118" s="273">
        <f>D118*E118</f>
        <v>0</v>
      </c>
      <c r="G118" s="92"/>
      <c r="H118" s="248">
        <f>F118+(F118*G118)</f>
        <v>0</v>
      </c>
      <c r="I118" s="76"/>
      <c r="J118" s="14"/>
    </row>
    <row r="119" spans="1:10" ht="33.75" customHeight="1">
      <c r="A119" s="31">
        <v>2</v>
      </c>
      <c r="B119" s="100" t="s">
        <v>95</v>
      </c>
      <c r="C119" s="14" t="s">
        <v>10</v>
      </c>
      <c r="D119" s="33">
        <v>32</v>
      </c>
      <c r="E119" s="321"/>
      <c r="F119" s="273">
        <f>D119*E119</f>
        <v>0</v>
      </c>
      <c r="G119" s="92"/>
      <c r="H119" s="248">
        <f>F119+(F119*G119)</f>
        <v>0</v>
      </c>
      <c r="I119" s="37"/>
      <c r="J119" s="38"/>
    </row>
    <row r="120" spans="1:10" ht="31.5" customHeight="1">
      <c r="A120" s="31">
        <v>3</v>
      </c>
      <c r="B120" s="100" t="s">
        <v>96</v>
      </c>
      <c r="C120" s="14" t="s">
        <v>10</v>
      </c>
      <c r="D120" s="33">
        <v>8</v>
      </c>
      <c r="E120" s="321"/>
      <c r="F120" s="273">
        <f>D120*E120</f>
        <v>0</v>
      </c>
      <c r="G120" s="92"/>
      <c r="H120" s="248">
        <f>F120+(F120*G120)</f>
        <v>0</v>
      </c>
      <c r="I120" s="37"/>
      <c r="J120" s="38"/>
    </row>
    <row r="121" spans="1:10" ht="33.75" customHeight="1">
      <c r="A121" s="31">
        <v>4</v>
      </c>
      <c r="B121" s="100" t="s">
        <v>97</v>
      </c>
      <c r="C121" s="14" t="s">
        <v>10</v>
      </c>
      <c r="D121" s="33">
        <v>6</v>
      </c>
      <c r="E121" s="34"/>
      <c r="F121" s="273">
        <f>D121*E121</f>
        <v>0</v>
      </c>
      <c r="G121" s="92"/>
      <c r="H121" s="248">
        <f>F121+(F121*G121)</f>
        <v>0</v>
      </c>
      <c r="I121" s="37"/>
      <c r="J121" s="38"/>
    </row>
    <row r="122" spans="1:10" ht="14.25">
      <c r="A122" s="31"/>
      <c r="B122" s="9" t="s">
        <v>11</v>
      </c>
      <c r="C122" s="24"/>
      <c r="D122" s="39"/>
      <c r="E122" s="17"/>
      <c r="F122" s="18">
        <f>SUM(F118:F121)</f>
        <v>0</v>
      </c>
      <c r="G122" s="40"/>
      <c r="H122" s="274">
        <f>SUM(H118:H121)</f>
        <v>0</v>
      </c>
      <c r="I122" s="41"/>
      <c r="J122" s="24"/>
    </row>
    <row r="123" spans="1:10" ht="14.25">
      <c r="A123" s="4"/>
      <c r="B123" s="4"/>
      <c r="C123" s="5"/>
      <c r="D123" s="5"/>
      <c r="E123" s="5"/>
      <c r="F123" s="5"/>
      <c r="G123" s="5"/>
      <c r="H123" s="5"/>
      <c r="I123" s="5"/>
      <c r="J123" s="81"/>
    </row>
    <row r="124" spans="1:10" ht="14.25">
      <c r="A124" s="4"/>
      <c r="B124" s="4"/>
      <c r="C124" s="5"/>
      <c r="D124" s="5"/>
      <c r="E124" s="5"/>
      <c r="F124" s="5"/>
      <c r="G124" s="5"/>
      <c r="H124" s="5"/>
      <c r="I124" s="5"/>
      <c r="J124" s="65"/>
    </row>
    <row r="125" spans="1:10" ht="15.75" customHeight="1">
      <c r="A125" s="4"/>
      <c r="B125" s="4"/>
      <c r="C125" s="5"/>
      <c r="D125" s="5"/>
      <c r="E125" s="5"/>
      <c r="F125" s="5"/>
      <c r="G125" s="5"/>
      <c r="H125" s="5"/>
      <c r="I125" s="5"/>
      <c r="J125" s="54"/>
    </row>
    <row r="126" spans="1:10" ht="14.25">
      <c r="A126" s="4"/>
      <c r="B126" s="4"/>
      <c r="C126" s="5"/>
      <c r="D126" s="5"/>
      <c r="E126" s="5"/>
      <c r="F126" s="5"/>
      <c r="G126" s="5"/>
      <c r="H126" s="5"/>
      <c r="I126" s="5"/>
      <c r="J126" s="54"/>
    </row>
    <row r="127" spans="1:10" ht="14.25">
      <c r="A127" s="4"/>
      <c r="B127" s="4"/>
      <c r="C127" s="5"/>
      <c r="D127" s="5"/>
      <c r="E127" s="5"/>
      <c r="F127" s="5"/>
      <c r="G127" s="5"/>
      <c r="H127" s="5"/>
      <c r="I127" s="334" t="s">
        <v>12</v>
      </c>
      <c r="J127" s="334"/>
    </row>
    <row r="128" spans="1:10" ht="14.25">
      <c r="A128" s="4"/>
      <c r="B128" s="4"/>
      <c r="C128" s="5"/>
      <c r="D128" s="5"/>
      <c r="E128" s="5"/>
      <c r="F128" s="5"/>
      <c r="G128" s="5"/>
      <c r="H128" s="5"/>
      <c r="I128" s="334" t="s">
        <v>13</v>
      </c>
      <c r="J128" s="334"/>
    </row>
    <row r="129" spans="1:10" s="57" customFormat="1" ht="15">
      <c r="A129" s="26" t="s">
        <v>314</v>
      </c>
      <c r="B129" s="55"/>
      <c r="C129" s="53"/>
      <c r="D129" s="53"/>
      <c r="E129" s="53"/>
      <c r="F129" s="53"/>
      <c r="G129" s="53"/>
      <c r="H129" s="53"/>
      <c r="I129" s="53"/>
      <c r="J129" s="55"/>
    </row>
    <row r="130" spans="1:10" s="64" customFormat="1" ht="43.5" customHeight="1">
      <c r="A130" s="7" t="s">
        <v>0</v>
      </c>
      <c r="B130" s="7" t="s">
        <v>1</v>
      </c>
      <c r="C130" s="7" t="s">
        <v>2</v>
      </c>
      <c r="D130" s="7" t="s">
        <v>3</v>
      </c>
      <c r="E130" s="7" t="s">
        <v>4</v>
      </c>
      <c r="F130" s="7" t="s">
        <v>5</v>
      </c>
      <c r="G130" s="7" t="s">
        <v>6</v>
      </c>
      <c r="H130" s="7" t="s">
        <v>7</v>
      </c>
      <c r="I130" s="8" t="s">
        <v>8</v>
      </c>
      <c r="J130" s="7" t="s">
        <v>9</v>
      </c>
    </row>
    <row r="131" spans="1:10" ht="43.5" customHeight="1">
      <c r="A131" s="80">
        <v>1</v>
      </c>
      <c r="B131" s="59" t="s">
        <v>98</v>
      </c>
      <c r="C131" s="14" t="s">
        <v>10</v>
      </c>
      <c r="D131" s="14">
        <v>3</v>
      </c>
      <c r="E131" s="319"/>
      <c r="F131" s="270">
        <f>D131*E131</f>
        <v>0</v>
      </c>
      <c r="G131" s="95"/>
      <c r="H131" s="248">
        <f>F131+(F131*G131)</f>
        <v>0</v>
      </c>
      <c r="I131" s="38"/>
      <c r="J131" s="38"/>
    </row>
    <row r="132" spans="1:10" ht="96.75" customHeight="1">
      <c r="A132" s="31">
        <v>2</v>
      </c>
      <c r="B132" s="59" t="s">
        <v>99</v>
      </c>
      <c r="C132" s="14" t="s">
        <v>10</v>
      </c>
      <c r="D132" s="14">
        <v>3</v>
      </c>
      <c r="E132" s="319"/>
      <c r="F132" s="270">
        <f>D132*E132</f>
        <v>0</v>
      </c>
      <c r="G132" s="95"/>
      <c r="H132" s="248">
        <f>F132+(F132*G132)</f>
        <v>0</v>
      </c>
      <c r="I132" s="38"/>
      <c r="J132" s="38"/>
    </row>
    <row r="133" spans="1:10" ht="14.25">
      <c r="A133" s="31"/>
      <c r="B133" s="9" t="s">
        <v>11</v>
      </c>
      <c r="C133" s="24"/>
      <c r="D133" s="24"/>
      <c r="E133" s="24"/>
      <c r="F133" s="271">
        <f>SUM(F131:F132)</f>
        <v>0</v>
      </c>
      <c r="G133" s="25"/>
      <c r="H133" s="271">
        <f>SUM(H131:H132)</f>
        <v>0</v>
      </c>
      <c r="I133" s="24"/>
      <c r="J133" s="24"/>
    </row>
    <row r="134" spans="1:10" ht="14.25">
      <c r="A134" s="4"/>
      <c r="B134" s="4"/>
      <c r="C134" s="5"/>
      <c r="D134" s="5"/>
      <c r="E134" s="5"/>
      <c r="F134" s="5"/>
      <c r="G134" s="5"/>
      <c r="H134" s="5"/>
      <c r="I134" s="5"/>
      <c r="J134" s="58"/>
    </row>
    <row r="135" spans="1:10" ht="14.25">
      <c r="A135" s="4"/>
      <c r="B135" s="4"/>
      <c r="C135" s="5"/>
      <c r="D135" s="5"/>
      <c r="E135" s="5"/>
      <c r="F135" s="5"/>
      <c r="G135" s="5"/>
      <c r="H135" s="5"/>
      <c r="I135" s="5"/>
      <c r="J135" s="54"/>
    </row>
    <row r="136" spans="1:10" ht="14.25">
      <c r="A136" s="4"/>
      <c r="B136" s="4"/>
      <c r="C136" s="5"/>
      <c r="D136" s="5"/>
      <c r="E136" s="5"/>
      <c r="F136" s="5"/>
      <c r="G136" s="5"/>
      <c r="H136" s="5"/>
      <c r="I136" s="334" t="s">
        <v>12</v>
      </c>
      <c r="J136" s="334"/>
    </row>
    <row r="137" spans="1:10" ht="14.25">
      <c r="A137" s="4"/>
      <c r="B137" s="4"/>
      <c r="C137" s="5"/>
      <c r="D137" s="5"/>
      <c r="E137" s="5"/>
      <c r="F137" s="5"/>
      <c r="G137" s="5"/>
      <c r="H137" s="5"/>
      <c r="I137" s="334" t="s">
        <v>13</v>
      </c>
      <c r="J137" s="334"/>
    </row>
    <row r="138" spans="1:10" ht="15">
      <c r="A138" s="26"/>
      <c r="B138" s="4"/>
      <c r="C138" s="82"/>
      <c r="D138" s="5"/>
      <c r="E138" s="5"/>
      <c r="F138" s="5"/>
      <c r="G138" s="5"/>
      <c r="H138" s="5"/>
      <c r="I138" s="5"/>
      <c r="J138" s="4"/>
    </row>
    <row r="139" spans="1:254" ht="15">
      <c r="A139" s="66" t="s">
        <v>315</v>
      </c>
      <c r="B139" s="67"/>
      <c r="C139" s="101"/>
      <c r="D139" s="68"/>
      <c r="E139" s="68"/>
      <c r="F139" s="67"/>
      <c r="G139" s="68"/>
      <c r="H139" s="68"/>
      <c r="I139" s="68"/>
      <c r="J139" s="6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row>
    <row r="140" spans="1:254" ht="38.25">
      <c r="A140" s="44" t="s">
        <v>0</v>
      </c>
      <c r="B140" s="44" t="s">
        <v>1</v>
      </c>
      <c r="C140" s="44" t="s">
        <v>2</v>
      </c>
      <c r="D140" s="44" t="s">
        <v>3</v>
      </c>
      <c r="E140" s="70" t="s">
        <v>4</v>
      </c>
      <c r="F140" s="44" t="s">
        <v>5</v>
      </c>
      <c r="G140" s="44" t="s">
        <v>6</v>
      </c>
      <c r="H140" s="44" t="s">
        <v>7</v>
      </c>
      <c r="I140" s="45" t="s">
        <v>8</v>
      </c>
      <c r="J140" s="44" t="s">
        <v>14</v>
      </c>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row>
    <row r="141" spans="1:254" ht="36.75" customHeight="1">
      <c r="A141" s="71">
        <v>1</v>
      </c>
      <c r="B141" s="102" t="s">
        <v>100</v>
      </c>
      <c r="C141" s="48" t="s">
        <v>65</v>
      </c>
      <c r="D141" s="103">
        <v>2</v>
      </c>
      <c r="E141" s="323"/>
      <c r="F141" s="252">
        <f>D141*E141</f>
        <v>0</v>
      </c>
      <c r="G141" s="104"/>
      <c r="H141" s="248">
        <f>F141+(F141*G141)</f>
        <v>0</v>
      </c>
      <c r="I141" s="48"/>
      <c r="J141" s="48"/>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row>
    <row r="142" spans="1:254" ht="14.25">
      <c r="A142" s="71"/>
      <c r="B142" s="46" t="s">
        <v>11</v>
      </c>
      <c r="C142" s="49"/>
      <c r="D142" s="74"/>
      <c r="E142" s="105"/>
      <c r="F142" s="253">
        <f>SUM(F141)</f>
        <v>0</v>
      </c>
      <c r="G142" s="106"/>
      <c r="H142" s="254">
        <f>SUM(H141)</f>
        <v>0</v>
      </c>
      <c r="I142" s="49"/>
      <c r="J142" s="49"/>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row>
    <row r="143" spans="1:254" ht="15">
      <c r="A143" s="51"/>
      <c r="B143" s="51"/>
      <c r="C143" s="51"/>
      <c r="D143" s="51"/>
      <c r="E143" s="51"/>
      <c r="F143" s="51"/>
      <c r="G143" s="51"/>
      <c r="H143" s="51"/>
      <c r="I143" s="51"/>
      <c r="J143" s="51"/>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row>
    <row r="144" spans="1:254" ht="15">
      <c r="A144" s="51"/>
      <c r="B144" s="51"/>
      <c r="C144" s="51"/>
      <c r="D144" s="51"/>
      <c r="E144" s="51"/>
      <c r="F144" s="51"/>
      <c r="G144" s="51"/>
      <c r="H144" s="51"/>
      <c r="I144" s="51"/>
      <c r="J144" s="51"/>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row>
    <row r="145" spans="1:254" ht="15">
      <c r="A145" s="51"/>
      <c r="B145" s="51"/>
      <c r="C145" s="51"/>
      <c r="D145" s="51"/>
      <c r="E145" s="51"/>
      <c r="F145" s="51"/>
      <c r="G145" s="51"/>
      <c r="H145" s="51"/>
      <c r="I145" s="52" t="s">
        <v>12</v>
      </c>
      <c r="J145" s="52"/>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row>
    <row r="146" spans="1:254" ht="15">
      <c r="A146" s="51"/>
      <c r="B146" s="51"/>
      <c r="C146" s="51"/>
      <c r="D146" s="51"/>
      <c r="E146" s="51"/>
      <c r="F146" s="51"/>
      <c r="G146" s="51"/>
      <c r="H146" s="51"/>
      <c r="I146" s="52" t="s">
        <v>13</v>
      </c>
      <c r="J146" s="52"/>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row>
    <row r="147" spans="1:254" ht="15">
      <c r="A147" s="66" t="s">
        <v>316</v>
      </c>
      <c r="B147" s="67"/>
      <c r="C147" s="101"/>
      <c r="D147" s="68"/>
      <c r="E147" s="68"/>
      <c r="F147" s="67"/>
      <c r="G147" s="68"/>
      <c r="H147" s="68"/>
      <c r="I147" s="68"/>
      <c r="J147" s="69"/>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row>
    <row r="148" spans="1:254" ht="38.25">
      <c r="A148" s="44" t="s">
        <v>0</v>
      </c>
      <c r="B148" s="44" t="s">
        <v>1</v>
      </c>
      <c r="C148" s="44" t="s">
        <v>2</v>
      </c>
      <c r="D148" s="44" t="s">
        <v>3</v>
      </c>
      <c r="E148" s="70" t="s">
        <v>4</v>
      </c>
      <c r="F148" s="44" t="s">
        <v>5</v>
      </c>
      <c r="G148" s="44" t="s">
        <v>6</v>
      </c>
      <c r="H148" s="44" t="s">
        <v>7</v>
      </c>
      <c r="I148" s="45" t="s">
        <v>8</v>
      </c>
      <c r="J148" s="44" t="s">
        <v>14</v>
      </c>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row>
    <row r="149" spans="1:254" ht="25.5">
      <c r="A149" s="71">
        <v>1</v>
      </c>
      <c r="B149" s="72" t="s">
        <v>101</v>
      </c>
      <c r="C149" s="48" t="s">
        <v>10</v>
      </c>
      <c r="D149" s="73">
        <v>5</v>
      </c>
      <c r="E149" s="324"/>
      <c r="F149" s="252">
        <f>D149*E149</f>
        <v>0</v>
      </c>
      <c r="G149" s="104"/>
      <c r="H149" s="248">
        <f>F149+(F149*G149)</f>
        <v>0</v>
      </c>
      <c r="I149" s="48"/>
      <c r="J149" s="48"/>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row>
    <row r="150" spans="1:254" ht="14.25">
      <c r="A150" s="71"/>
      <c r="B150" s="46" t="s">
        <v>11</v>
      </c>
      <c r="C150" s="49"/>
      <c r="D150" s="74"/>
      <c r="E150" s="107"/>
      <c r="F150" s="253">
        <f>SUM(F149)</f>
        <v>0</v>
      </c>
      <c r="G150" s="106"/>
      <c r="H150" s="254">
        <f>SUM(H149)</f>
        <v>0</v>
      </c>
      <c r="I150" s="49"/>
      <c r="J150" s="49"/>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row>
    <row r="151" spans="1:254" ht="15">
      <c r="A151" s="51"/>
      <c r="B151" s="51"/>
      <c r="C151" s="51"/>
      <c r="D151" s="51"/>
      <c r="E151" s="51"/>
      <c r="F151" s="51"/>
      <c r="G151" s="51"/>
      <c r="H151" s="51"/>
      <c r="I151" s="51"/>
      <c r="J151" s="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row>
    <row r="152" spans="1:254" ht="15">
      <c r="A152" s="51"/>
      <c r="B152" s="51"/>
      <c r="C152" s="51"/>
      <c r="D152" s="51"/>
      <c r="E152" s="51"/>
      <c r="F152" s="51"/>
      <c r="G152" s="51"/>
      <c r="H152" s="51"/>
      <c r="I152" s="51"/>
      <c r="J152" s="51"/>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row>
    <row r="153" spans="1:254" ht="15">
      <c r="A153" s="67"/>
      <c r="B153" s="67"/>
      <c r="C153" s="67"/>
      <c r="D153" s="67"/>
      <c r="E153" s="67"/>
      <c r="F153" s="67"/>
      <c r="G153" s="67"/>
      <c r="H153" s="67"/>
      <c r="I153" s="52" t="s">
        <v>12</v>
      </c>
      <c r="J153" s="52"/>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row>
    <row r="154" spans="1:254" ht="15">
      <c r="A154" s="67"/>
      <c r="B154" s="67"/>
      <c r="C154" s="67"/>
      <c r="D154" s="67"/>
      <c r="E154" s="67"/>
      <c r="F154" s="67"/>
      <c r="G154" s="67"/>
      <c r="H154" s="67"/>
      <c r="I154" s="52" t="s">
        <v>13</v>
      </c>
      <c r="J154" s="52"/>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row>
    <row r="155" spans="1:10" ht="15">
      <c r="A155" s="26" t="s">
        <v>317</v>
      </c>
      <c r="B155" s="4"/>
      <c r="C155" s="109"/>
      <c r="D155" s="4"/>
      <c r="E155" s="4"/>
      <c r="F155" s="5"/>
      <c r="G155" s="4"/>
      <c r="H155" s="4"/>
      <c r="I155" s="4"/>
      <c r="J155" s="4"/>
    </row>
    <row r="156" spans="1:10" s="64" customFormat="1" ht="45.75" customHeight="1">
      <c r="A156" s="28" t="s">
        <v>0</v>
      </c>
      <c r="B156" s="28" t="s">
        <v>1</v>
      </c>
      <c r="C156" s="28" t="s">
        <v>2</v>
      </c>
      <c r="D156" s="28" t="s">
        <v>3</v>
      </c>
      <c r="E156" s="29" t="s">
        <v>4</v>
      </c>
      <c r="F156" s="29" t="s">
        <v>5</v>
      </c>
      <c r="G156" s="29" t="s">
        <v>6</v>
      </c>
      <c r="H156" s="29" t="s">
        <v>7</v>
      </c>
      <c r="I156" s="30" t="s">
        <v>8</v>
      </c>
      <c r="J156" s="28" t="s">
        <v>14</v>
      </c>
    </row>
    <row r="157" spans="1:10" ht="93.75" customHeight="1">
      <c r="A157" s="31">
        <v>1</v>
      </c>
      <c r="B157" s="10" t="s">
        <v>102</v>
      </c>
      <c r="C157" s="14" t="s">
        <v>103</v>
      </c>
      <c r="D157" s="33">
        <v>1</v>
      </c>
      <c r="E157" s="34"/>
      <c r="F157" s="268">
        <f>D157*E157</f>
        <v>0</v>
      </c>
      <c r="G157" s="92"/>
      <c r="H157" s="248">
        <f aca="true" t="shared" si="6" ref="H157:H173">F157+(F157*G157)</f>
        <v>0</v>
      </c>
      <c r="I157" s="281"/>
      <c r="J157" s="38"/>
    </row>
    <row r="158" spans="1:10" ht="91.5" customHeight="1">
      <c r="A158" s="31">
        <v>2</v>
      </c>
      <c r="B158" s="10" t="s">
        <v>104</v>
      </c>
      <c r="C158" s="14" t="s">
        <v>103</v>
      </c>
      <c r="D158" s="33">
        <v>6</v>
      </c>
      <c r="E158" s="34"/>
      <c r="F158" s="268">
        <f aca="true" t="shared" si="7" ref="F158:F173">D158*E158</f>
        <v>0</v>
      </c>
      <c r="G158" s="92"/>
      <c r="H158" s="248">
        <f t="shared" si="6"/>
        <v>0</v>
      </c>
      <c r="I158" s="37"/>
      <c r="J158" s="38"/>
    </row>
    <row r="159" spans="1:10" ht="69.75" customHeight="1">
      <c r="A159" s="31">
        <v>3</v>
      </c>
      <c r="B159" s="10" t="s">
        <v>105</v>
      </c>
      <c r="C159" s="14" t="s">
        <v>10</v>
      </c>
      <c r="D159" s="33">
        <v>5</v>
      </c>
      <c r="E159" s="34"/>
      <c r="F159" s="268">
        <f t="shared" si="7"/>
        <v>0</v>
      </c>
      <c r="G159" s="92"/>
      <c r="H159" s="248">
        <f t="shared" si="6"/>
        <v>0</v>
      </c>
      <c r="I159" s="37"/>
      <c r="J159" s="38"/>
    </row>
    <row r="160" spans="1:10" ht="75" customHeight="1">
      <c r="A160" s="31">
        <v>4</v>
      </c>
      <c r="B160" s="10" t="s">
        <v>106</v>
      </c>
      <c r="C160" s="14" t="s">
        <v>10</v>
      </c>
      <c r="D160" s="33">
        <v>1</v>
      </c>
      <c r="E160" s="34"/>
      <c r="F160" s="268">
        <f t="shared" si="7"/>
        <v>0</v>
      </c>
      <c r="G160" s="92"/>
      <c r="H160" s="248">
        <f t="shared" si="6"/>
        <v>0</v>
      </c>
      <c r="I160" s="37"/>
      <c r="J160" s="38"/>
    </row>
    <row r="161" spans="1:10" ht="81" customHeight="1">
      <c r="A161" s="31">
        <v>5</v>
      </c>
      <c r="B161" s="10" t="s">
        <v>107</v>
      </c>
      <c r="C161" s="14" t="s">
        <v>10</v>
      </c>
      <c r="D161" s="33">
        <v>1</v>
      </c>
      <c r="E161" s="34"/>
      <c r="F161" s="268">
        <f t="shared" si="7"/>
        <v>0</v>
      </c>
      <c r="G161" s="92"/>
      <c r="H161" s="248">
        <f t="shared" si="6"/>
        <v>0</v>
      </c>
      <c r="I161" s="37"/>
      <c r="J161" s="38"/>
    </row>
    <row r="162" spans="1:10" ht="79.5" customHeight="1">
      <c r="A162" s="31">
        <v>6</v>
      </c>
      <c r="B162" s="10" t="s">
        <v>108</v>
      </c>
      <c r="C162" s="14" t="s">
        <v>10</v>
      </c>
      <c r="D162" s="33">
        <v>5</v>
      </c>
      <c r="E162" s="34"/>
      <c r="F162" s="268">
        <f t="shared" si="7"/>
        <v>0</v>
      </c>
      <c r="G162" s="92"/>
      <c r="H162" s="248">
        <f t="shared" si="6"/>
        <v>0</v>
      </c>
      <c r="I162" s="37"/>
      <c r="J162" s="38"/>
    </row>
    <row r="163" spans="1:10" ht="69.75" customHeight="1">
      <c r="A163" s="31">
        <v>7</v>
      </c>
      <c r="B163" s="10" t="s">
        <v>109</v>
      </c>
      <c r="C163" s="14" t="s">
        <v>10</v>
      </c>
      <c r="D163" s="33">
        <v>5</v>
      </c>
      <c r="E163" s="34"/>
      <c r="F163" s="268">
        <f t="shared" si="7"/>
        <v>0</v>
      </c>
      <c r="G163" s="92"/>
      <c r="H163" s="248">
        <f t="shared" si="6"/>
        <v>0</v>
      </c>
      <c r="I163" s="37"/>
      <c r="J163" s="38"/>
    </row>
    <row r="164" spans="1:10" ht="69.75" customHeight="1">
      <c r="A164" s="31">
        <v>8</v>
      </c>
      <c r="B164" s="10" t="s">
        <v>110</v>
      </c>
      <c r="C164" s="14" t="s">
        <v>10</v>
      </c>
      <c r="D164" s="33">
        <v>5</v>
      </c>
      <c r="E164" s="34"/>
      <c r="F164" s="268">
        <f t="shared" si="7"/>
        <v>0</v>
      </c>
      <c r="G164" s="92"/>
      <c r="H164" s="248">
        <f t="shared" si="6"/>
        <v>0</v>
      </c>
      <c r="I164" s="37"/>
      <c r="J164" s="38"/>
    </row>
    <row r="165" spans="1:10" ht="80.25" customHeight="1">
      <c r="A165" s="31">
        <v>9</v>
      </c>
      <c r="B165" s="10" t="s">
        <v>111</v>
      </c>
      <c r="C165" s="14" t="s">
        <v>10</v>
      </c>
      <c r="D165" s="33">
        <v>4</v>
      </c>
      <c r="E165" s="34"/>
      <c r="F165" s="268">
        <f t="shared" si="7"/>
        <v>0</v>
      </c>
      <c r="G165" s="92"/>
      <c r="H165" s="248">
        <f t="shared" si="6"/>
        <v>0</v>
      </c>
      <c r="I165" s="37"/>
      <c r="J165" s="38"/>
    </row>
    <row r="166" spans="1:10" ht="59.25" customHeight="1">
      <c r="A166" s="31">
        <v>10</v>
      </c>
      <c r="B166" s="10" t="s">
        <v>112</v>
      </c>
      <c r="C166" s="14" t="s">
        <v>113</v>
      </c>
      <c r="D166" s="33">
        <v>5</v>
      </c>
      <c r="E166" s="34"/>
      <c r="F166" s="268">
        <f t="shared" si="7"/>
        <v>0</v>
      </c>
      <c r="G166" s="92"/>
      <c r="H166" s="248">
        <f t="shared" si="6"/>
        <v>0</v>
      </c>
      <c r="I166" s="37"/>
      <c r="J166" s="38"/>
    </row>
    <row r="167" spans="1:10" ht="58.5" customHeight="1">
      <c r="A167" s="31">
        <v>11</v>
      </c>
      <c r="B167" s="10" t="s">
        <v>114</v>
      </c>
      <c r="C167" s="14" t="s">
        <v>115</v>
      </c>
      <c r="D167" s="33">
        <v>5</v>
      </c>
      <c r="E167" s="34"/>
      <c r="F167" s="268">
        <f t="shared" si="7"/>
        <v>0</v>
      </c>
      <c r="G167" s="92"/>
      <c r="H167" s="248">
        <f t="shared" si="6"/>
        <v>0</v>
      </c>
      <c r="I167" s="37"/>
      <c r="J167" s="38"/>
    </row>
    <row r="168" spans="1:10" ht="50.25" customHeight="1">
      <c r="A168" s="31">
        <v>12</v>
      </c>
      <c r="B168" s="110" t="s">
        <v>116</v>
      </c>
      <c r="C168" s="14" t="s">
        <v>10</v>
      </c>
      <c r="D168" s="33">
        <v>3</v>
      </c>
      <c r="E168" s="34"/>
      <c r="F168" s="268">
        <f t="shared" si="7"/>
        <v>0</v>
      </c>
      <c r="G168" s="92"/>
      <c r="H168" s="248">
        <f t="shared" si="6"/>
        <v>0</v>
      </c>
      <c r="I168" s="37"/>
      <c r="J168" s="38"/>
    </row>
    <row r="169" spans="1:10" ht="82.5" customHeight="1">
      <c r="A169" s="31">
        <v>13</v>
      </c>
      <c r="B169" s="10" t="s">
        <v>117</v>
      </c>
      <c r="C169" s="14" t="s">
        <v>10</v>
      </c>
      <c r="D169" s="33">
        <v>3</v>
      </c>
      <c r="E169" s="34"/>
      <c r="F169" s="268">
        <f t="shared" si="7"/>
        <v>0</v>
      </c>
      <c r="G169" s="92"/>
      <c r="H169" s="248">
        <f t="shared" si="6"/>
        <v>0</v>
      </c>
      <c r="I169" s="37"/>
      <c r="J169" s="38"/>
    </row>
    <row r="170" spans="1:10" ht="69" customHeight="1">
      <c r="A170" s="31">
        <v>14</v>
      </c>
      <c r="B170" s="10" t="s">
        <v>118</v>
      </c>
      <c r="C170" s="14" t="s">
        <v>10</v>
      </c>
      <c r="D170" s="33">
        <v>3</v>
      </c>
      <c r="E170" s="34"/>
      <c r="F170" s="268">
        <f t="shared" si="7"/>
        <v>0</v>
      </c>
      <c r="G170" s="92"/>
      <c r="H170" s="248">
        <f t="shared" si="6"/>
        <v>0</v>
      </c>
      <c r="I170" s="37"/>
      <c r="J170" s="38"/>
    </row>
    <row r="171" spans="1:10" ht="69" customHeight="1">
      <c r="A171" s="31">
        <v>15</v>
      </c>
      <c r="B171" s="10" t="s">
        <v>119</v>
      </c>
      <c r="C171" s="14" t="s">
        <v>10</v>
      </c>
      <c r="D171" s="33">
        <v>3</v>
      </c>
      <c r="E171" s="34"/>
      <c r="F171" s="268">
        <f t="shared" si="7"/>
        <v>0</v>
      </c>
      <c r="G171" s="92"/>
      <c r="H171" s="248">
        <f t="shared" si="6"/>
        <v>0</v>
      </c>
      <c r="I171" s="37"/>
      <c r="J171" s="38"/>
    </row>
    <row r="172" spans="1:10" ht="47.25" customHeight="1">
      <c r="A172" s="31">
        <v>16</v>
      </c>
      <c r="B172" s="10" t="s">
        <v>120</v>
      </c>
      <c r="C172" s="14" t="s">
        <v>10</v>
      </c>
      <c r="D172" s="33">
        <v>1</v>
      </c>
      <c r="E172" s="34"/>
      <c r="F172" s="268">
        <f t="shared" si="7"/>
        <v>0</v>
      </c>
      <c r="G172" s="92"/>
      <c r="H172" s="248">
        <f t="shared" si="6"/>
        <v>0</v>
      </c>
      <c r="I172" s="37"/>
      <c r="J172" s="38"/>
    </row>
    <row r="173" spans="1:10" ht="87" customHeight="1">
      <c r="A173" s="31">
        <v>17</v>
      </c>
      <c r="B173" s="10" t="s">
        <v>121</v>
      </c>
      <c r="C173" s="14" t="s">
        <v>10</v>
      </c>
      <c r="D173" s="33">
        <v>5</v>
      </c>
      <c r="E173" s="34"/>
      <c r="F173" s="268">
        <f t="shared" si="7"/>
        <v>0</v>
      </c>
      <c r="G173" s="92"/>
      <c r="H173" s="248">
        <f t="shared" si="6"/>
        <v>0</v>
      </c>
      <c r="I173" s="37"/>
      <c r="J173" s="38"/>
    </row>
    <row r="174" spans="1:10" ht="14.25">
      <c r="A174" s="31"/>
      <c r="B174" s="9" t="s">
        <v>11</v>
      </c>
      <c r="C174" s="24"/>
      <c r="D174" s="39"/>
      <c r="E174" s="111"/>
      <c r="F174" s="274">
        <f>SUM(F157:F173)</f>
        <v>0</v>
      </c>
      <c r="G174" s="112"/>
      <c r="H174" s="274">
        <f>SUM(H157:H173)</f>
        <v>0</v>
      </c>
      <c r="I174" s="41"/>
      <c r="J174" s="24"/>
    </row>
    <row r="175" spans="1:10" ht="18" customHeight="1">
      <c r="A175" s="344" t="s">
        <v>122</v>
      </c>
      <c r="B175" s="344"/>
      <c r="C175" s="344"/>
      <c r="D175" s="344"/>
      <c r="E175" s="344"/>
      <c r="F175" s="344"/>
      <c r="G175" s="344"/>
      <c r="H175" s="344"/>
      <c r="I175" s="344"/>
      <c r="J175" s="344"/>
    </row>
    <row r="176" spans="1:10" ht="14.25">
      <c r="A176" s="4"/>
      <c r="B176" s="27"/>
      <c r="C176" s="4"/>
      <c r="D176" s="4"/>
      <c r="E176" s="4"/>
      <c r="F176" s="5"/>
      <c r="G176" s="4"/>
      <c r="H176" s="4"/>
      <c r="I176" s="4"/>
      <c r="J176" s="6"/>
    </row>
    <row r="177" spans="1:10" ht="14.25">
      <c r="A177" s="4"/>
      <c r="B177" s="113"/>
      <c r="C177" s="4"/>
      <c r="D177" s="4"/>
      <c r="E177" s="4"/>
      <c r="F177" s="5"/>
      <c r="G177" s="4"/>
      <c r="H177" s="4"/>
      <c r="I177" s="4"/>
      <c r="J177" s="6"/>
    </row>
    <row r="178" spans="1:10" ht="14.25">
      <c r="A178" s="4"/>
      <c r="B178" s="4"/>
      <c r="C178" s="4"/>
      <c r="D178" s="4"/>
      <c r="E178" s="4"/>
      <c r="F178" s="5"/>
      <c r="G178" s="4"/>
      <c r="H178" s="4"/>
      <c r="I178" s="4"/>
      <c r="J178" s="54"/>
    </row>
    <row r="179" spans="1:10" ht="14.25">
      <c r="A179" s="4"/>
      <c r="B179" s="4"/>
      <c r="C179" s="4"/>
      <c r="D179" s="4"/>
      <c r="E179" s="4"/>
      <c r="F179" s="5"/>
      <c r="G179" s="4"/>
      <c r="H179" s="4"/>
      <c r="I179" s="334" t="s">
        <v>12</v>
      </c>
      <c r="J179" s="334"/>
    </row>
    <row r="180" spans="1:10" ht="14.25">
      <c r="A180" s="4"/>
      <c r="B180" s="4"/>
      <c r="C180" s="4"/>
      <c r="D180" s="4"/>
      <c r="E180" s="4"/>
      <c r="F180" s="5"/>
      <c r="G180" s="4"/>
      <c r="H180" s="4"/>
      <c r="I180" s="334" t="s">
        <v>13</v>
      </c>
      <c r="J180" s="334"/>
    </row>
    <row r="181" spans="1:10" ht="15">
      <c r="A181" s="26" t="s">
        <v>318</v>
      </c>
      <c r="B181" s="4"/>
      <c r="C181" s="109"/>
      <c r="D181" s="4"/>
      <c r="E181" s="4"/>
      <c r="F181" s="5"/>
      <c r="G181" s="4"/>
      <c r="H181" s="4"/>
      <c r="I181" s="4"/>
      <c r="J181" s="4"/>
    </row>
    <row r="182" spans="1:10" s="64" customFormat="1" ht="42.75" customHeight="1">
      <c r="A182" s="28" t="s">
        <v>0</v>
      </c>
      <c r="B182" s="28" t="s">
        <v>1</v>
      </c>
      <c r="C182" s="28" t="s">
        <v>2</v>
      </c>
      <c r="D182" s="28" t="s">
        <v>3</v>
      </c>
      <c r="E182" s="28" t="s">
        <v>4</v>
      </c>
      <c r="F182" s="28" t="s">
        <v>5</v>
      </c>
      <c r="G182" s="28" t="s">
        <v>6</v>
      </c>
      <c r="H182" s="28" t="s">
        <v>7</v>
      </c>
      <c r="I182" s="30" t="s">
        <v>8</v>
      </c>
      <c r="J182" s="28" t="s">
        <v>14</v>
      </c>
    </row>
    <row r="183" spans="1:10" s="64" customFormat="1" ht="80.25" customHeight="1">
      <c r="A183" s="31">
        <v>1</v>
      </c>
      <c r="B183" s="10" t="s">
        <v>285</v>
      </c>
      <c r="C183" s="14" t="s">
        <v>10</v>
      </c>
      <c r="D183" s="85">
        <v>2</v>
      </c>
      <c r="E183" s="85"/>
      <c r="F183" s="306">
        <f>D183*E183</f>
        <v>0</v>
      </c>
      <c r="G183" s="307"/>
      <c r="H183" s="248">
        <f>F183+(F183*G183)</f>
        <v>0</v>
      </c>
      <c r="I183" s="87"/>
      <c r="J183" s="86"/>
    </row>
    <row r="184" spans="1:10" ht="78" customHeight="1">
      <c r="A184" s="31">
        <v>2</v>
      </c>
      <c r="B184" s="10" t="s">
        <v>123</v>
      </c>
      <c r="C184" s="14" t="s">
        <v>10</v>
      </c>
      <c r="D184" s="14">
        <v>4</v>
      </c>
      <c r="E184" s="318"/>
      <c r="F184" s="306">
        <f>D184*E184</f>
        <v>0</v>
      </c>
      <c r="G184" s="308"/>
      <c r="H184" s="248">
        <f>F184+(F184*G184)</f>
        <v>0</v>
      </c>
      <c r="I184" s="11"/>
      <c r="J184" s="14"/>
    </row>
    <row r="185" spans="1:10" ht="84.75" customHeight="1">
      <c r="A185" s="31">
        <v>3</v>
      </c>
      <c r="B185" s="10" t="s">
        <v>124</v>
      </c>
      <c r="C185" s="14" t="s">
        <v>10</v>
      </c>
      <c r="D185" s="14">
        <v>6</v>
      </c>
      <c r="E185" s="318"/>
      <c r="F185" s="306">
        <f>D185*E185</f>
        <v>0</v>
      </c>
      <c r="G185" s="308"/>
      <c r="H185" s="248">
        <f>F185+(F185*G185)</f>
        <v>0</v>
      </c>
      <c r="I185" s="11"/>
      <c r="J185" s="14"/>
    </row>
    <row r="186" spans="1:10" ht="14.25">
      <c r="A186" s="31"/>
      <c r="B186" s="9" t="s">
        <v>11</v>
      </c>
      <c r="C186" s="24"/>
      <c r="D186" s="24"/>
      <c r="E186" s="24"/>
      <c r="F186" s="309">
        <f>SUM(F183:F185)</f>
        <v>0</v>
      </c>
      <c r="G186" s="310"/>
      <c r="H186" s="309">
        <f>SUM(H183:H185)</f>
        <v>0</v>
      </c>
      <c r="I186" s="24"/>
      <c r="J186" s="24"/>
    </row>
    <row r="187" spans="1:10" ht="22.5" customHeight="1">
      <c r="A187" s="114"/>
      <c r="B187" s="115"/>
      <c r="C187" s="116"/>
      <c r="D187" s="116"/>
      <c r="E187" s="116"/>
      <c r="F187" s="117"/>
      <c r="G187" s="116"/>
      <c r="H187" s="116"/>
      <c r="I187" s="116"/>
      <c r="J187" s="116"/>
    </row>
    <row r="188" spans="1:10" ht="22.5" customHeight="1">
      <c r="A188" s="114"/>
      <c r="B188" s="115"/>
      <c r="C188" s="116"/>
      <c r="D188" s="116"/>
      <c r="E188" s="116"/>
      <c r="F188" s="117"/>
      <c r="G188" s="116"/>
      <c r="H188" s="116"/>
      <c r="I188" s="116"/>
      <c r="J188" s="116"/>
    </row>
    <row r="189" spans="1:10" ht="12.75" customHeight="1">
      <c r="A189" s="114"/>
      <c r="B189" s="115"/>
      <c r="C189" s="116"/>
      <c r="D189" s="116"/>
      <c r="E189" s="116"/>
      <c r="F189" s="117"/>
      <c r="G189" s="116"/>
      <c r="H189" s="116"/>
      <c r="I189" s="334" t="s">
        <v>12</v>
      </c>
      <c r="J189" s="334"/>
    </row>
    <row r="190" spans="1:10" ht="19.5" customHeight="1">
      <c r="A190" s="114"/>
      <c r="B190" s="115"/>
      <c r="C190" s="116"/>
      <c r="D190" s="116"/>
      <c r="E190" s="116"/>
      <c r="F190" s="117"/>
      <c r="G190" s="116"/>
      <c r="H190" s="116"/>
      <c r="I190" s="334" t="s">
        <v>13</v>
      </c>
      <c r="J190" s="334"/>
    </row>
    <row r="191" spans="1:10" ht="29.25" customHeight="1">
      <c r="A191" s="26" t="s">
        <v>319</v>
      </c>
      <c r="B191" s="4"/>
      <c r="C191" s="109"/>
      <c r="D191" s="4"/>
      <c r="E191" s="4"/>
      <c r="F191" s="5"/>
      <c r="G191" s="4"/>
      <c r="H191" s="4"/>
      <c r="I191" s="4"/>
      <c r="J191" s="4"/>
    </row>
    <row r="192" spans="1:10" ht="60" customHeight="1">
      <c r="A192" s="28" t="s">
        <v>0</v>
      </c>
      <c r="B192" s="28" t="s">
        <v>1</v>
      </c>
      <c r="C192" s="28" t="s">
        <v>2</v>
      </c>
      <c r="D192" s="28" t="s">
        <v>3</v>
      </c>
      <c r="E192" s="28" t="s">
        <v>4</v>
      </c>
      <c r="F192" s="28" t="s">
        <v>5</v>
      </c>
      <c r="G192" s="28" t="s">
        <v>6</v>
      </c>
      <c r="H192" s="28" t="s">
        <v>7</v>
      </c>
      <c r="I192" s="30" t="s">
        <v>8</v>
      </c>
      <c r="J192" s="28" t="s">
        <v>14</v>
      </c>
    </row>
    <row r="193" spans="1:10" ht="49.5" customHeight="1">
      <c r="A193" s="31">
        <v>1</v>
      </c>
      <c r="B193" s="10" t="s">
        <v>125</v>
      </c>
      <c r="C193" s="14" t="s">
        <v>10</v>
      </c>
      <c r="D193" s="14">
        <v>5</v>
      </c>
      <c r="E193" s="318"/>
      <c r="F193" s="265">
        <f>D193*E193</f>
        <v>0</v>
      </c>
      <c r="G193" s="13"/>
      <c r="H193" s="248">
        <f aca="true" t="shared" si="8" ref="H193:H206">F193+(F193*G193)</f>
        <v>0</v>
      </c>
      <c r="I193" s="11"/>
      <c r="J193" s="14"/>
    </row>
    <row r="194" spans="1:10" ht="49.5" customHeight="1">
      <c r="A194" s="31">
        <v>2</v>
      </c>
      <c r="B194" s="10" t="s">
        <v>126</v>
      </c>
      <c r="C194" s="14" t="s">
        <v>10</v>
      </c>
      <c r="D194" s="14">
        <v>3</v>
      </c>
      <c r="E194" s="318"/>
      <c r="F194" s="265">
        <f aca="true" t="shared" si="9" ref="F194:F206">D194*E194</f>
        <v>0</v>
      </c>
      <c r="G194" s="13"/>
      <c r="H194" s="248">
        <f t="shared" si="8"/>
        <v>0</v>
      </c>
      <c r="I194" s="11"/>
      <c r="J194" s="14"/>
    </row>
    <row r="195" spans="1:10" ht="52.5" customHeight="1">
      <c r="A195" s="31">
        <v>3</v>
      </c>
      <c r="B195" s="10" t="s">
        <v>127</v>
      </c>
      <c r="C195" s="14" t="s">
        <v>10</v>
      </c>
      <c r="D195" s="14">
        <v>10</v>
      </c>
      <c r="E195" s="318"/>
      <c r="F195" s="265">
        <f t="shared" si="9"/>
        <v>0</v>
      </c>
      <c r="G195" s="13"/>
      <c r="H195" s="248">
        <f t="shared" si="8"/>
        <v>0</v>
      </c>
      <c r="I195" s="11"/>
      <c r="J195" s="14"/>
    </row>
    <row r="196" spans="1:10" ht="51" customHeight="1">
      <c r="A196" s="31">
        <v>4</v>
      </c>
      <c r="B196" s="10" t="s">
        <v>128</v>
      </c>
      <c r="C196" s="14" t="s">
        <v>10</v>
      </c>
      <c r="D196" s="14">
        <v>20</v>
      </c>
      <c r="E196" s="318"/>
      <c r="F196" s="265">
        <f t="shared" si="9"/>
        <v>0</v>
      </c>
      <c r="G196" s="13"/>
      <c r="H196" s="248">
        <f t="shared" si="8"/>
        <v>0</v>
      </c>
      <c r="I196" s="11"/>
      <c r="J196" s="14"/>
    </row>
    <row r="197" spans="1:10" ht="54.75" customHeight="1">
      <c r="A197" s="31">
        <v>5</v>
      </c>
      <c r="B197" s="10" t="s">
        <v>129</v>
      </c>
      <c r="C197" s="14" t="s">
        <v>10</v>
      </c>
      <c r="D197" s="14">
        <v>10</v>
      </c>
      <c r="E197" s="318"/>
      <c r="F197" s="265">
        <f t="shared" si="9"/>
        <v>0</v>
      </c>
      <c r="G197" s="13"/>
      <c r="H197" s="248">
        <f t="shared" si="8"/>
        <v>0</v>
      </c>
      <c r="I197" s="11"/>
      <c r="J197" s="14"/>
    </row>
    <row r="198" spans="1:10" ht="54.75" customHeight="1">
      <c r="A198" s="31">
        <v>6</v>
      </c>
      <c r="B198" s="10" t="s">
        <v>130</v>
      </c>
      <c r="C198" s="14" t="s">
        <v>10</v>
      </c>
      <c r="D198" s="14">
        <v>8</v>
      </c>
      <c r="E198" s="318"/>
      <c r="F198" s="265">
        <f t="shared" si="9"/>
        <v>0</v>
      </c>
      <c r="G198" s="13"/>
      <c r="H198" s="248">
        <f t="shared" si="8"/>
        <v>0</v>
      </c>
      <c r="I198" s="11"/>
      <c r="J198" s="14"/>
    </row>
    <row r="199" spans="1:10" ht="45.75" customHeight="1">
      <c r="A199" s="31">
        <v>7</v>
      </c>
      <c r="B199" s="10" t="s">
        <v>131</v>
      </c>
      <c r="C199" s="14" t="s">
        <v>10</v>
      </c>
      <c r="D199" s="14">
        <v>10</v>
      </c>
      <c r="E199" s="318"/>
      <c r="F199" s="265">
        <f t="shared" si="9"/>
        <v>0</v>
      </c>
      <c r="G199" s="13"/>
      <c r="H199" s="248">
        <f t="shared" si="8"/>
        <v>0</v>
      </c>
      <c r="I199" s="11"/>
      <c r="J199" s="14"/>
    </row>
    <row r="200" spans="1:10" ht="45.75" customHeight="1">
      <c r="A200" s="31">
        <v>8</v>
      </c>
      <c r="B200" s="10" t="s">
        <v>132</v>
      </c>
      <c r="C200" s="14" t="s">
        <v>10</v>
      </c>
      <c r="D200" s="14">
        <v>20</v>
      </c>
      <c r="E200" s="318"/>
      <c r="F200" s="265">
        <f t="shared" si="9"/>
        <v>0</v>
      </c>
      <c r="G200" s="13"/>
      <c r="H200" s="248">
        <f t="shared" si="8"/>
        <v>0</v>
      </c>
      <c r="I200" s="11"/>
      <c r="J200" s="14"/>
    </row>
    <row r="201" spans="1:10" ht="55.5" customHeight="1">
      <c r="A201" s="31">
        <v>9</v>
      </c>
      <c r="B201" s="10" t="s">
        <v>133</v>
      </c>
      <c r="C201" s="14" t="s">
        <v>10</v>
      </c>
      <c r="D201" s="14">
        <v>30</v>
      </c>
      <c r="E201" s="319"/>
      <c r="F201" s="265">
        <f t="shared" si="9"/>
        <v>0</v>
      </c>
      <c r="G201" s="95"/>
      <c r="H201" s="248">
        <f t="shared" si="8"/>
        <v>0</v>
      </c>
      <c r="I201" s="38"/>
      <c r="J201" s="38"/>
    </row>
    <row r="202" spans="1:10" ht="54" customHeight="1">
      <c r="A202" s="31">
        <v>10</v>
      </c>
      <c r="B202" s="10" t="s">
        <v>134</v>
      </c>
      <c r="C202" s="14" t="s">
        <v>10</v>
      </c>
      <c r="D202" s="14">
        <v>10</v>
      </c>
      <c r="E202" s="319"/>
      <c r="F202" s="265">
        <f t="shared" si="9"/>
        <v>0</v>
      </c>
      <c r="G202" s="95"/>
      <c r="H202" s="248">
        <f t="shared" si="8"/>
        <v>0</v>
      </c>
      <c r="I202" s="38"/>
      <c r="J202" s="38"/>
    </row>
    <row r="203" spans="1:10" ht="54.75" customHeight="1">
      <c r="A203" s="31">
        <v>11</v>
      </c>
      <c r="B203" s="10" t="s">
        <v>135</v>
      </c>
      <c r="C203" s="14" t="s">
        <v>10</v>
      </c>
      <c r="D203" s="14">
        <v>10</v>
      </c>
      <c r="E203" s="319"/>
      <c r="F203" s="265">
        <f t="shared" si="9"/>
        <v>0</v>
      </c>
      <c r="G203" s="95"/>
      <c r="H203" s="248">
        <f t="shared" si="8"/>
        <v>0</v>
      </c>
      <c r="I203" s="38"/>
      <c r="J203" s="38"/>
    </row>
    <row r="204" spans="1:10" ht="55.5" customHeight="1">
      <c r="A204" s="31">
        <v>12</v>
      </c>
      <c r="B204" s="10" t="s">
        <v>136</v>
      </c>
      <c r="C204" s="14" t="s">
        <v>10</v>
      </c>
      <c r="D204" s="14">
        <v>5</v>
      </c>
      <c r="E204" s="319"/>
      <c r="F204" s="265">
        <f t="shared" si="9"/>
        <v>0</v>
      </c>
      <c r="G204" s="95"/>
      <c r="H204" s="248">
        <f t="shared" si="8"/>
        <v>0</v>
      </c>
      <c r="I204" s="38"/>
      <c r="J204" s="38"/>
    </row>
    <row r="205" spans="1:10" ht="60" customHeight="1">
      <c r="A205" s="31">
        <v>13</v>
      </c>
      <c r="B205" s="10" t="s">
        <v>137</v>
      </c>
      <c r="C205" s="14" t="s">
        <v>10</v>
      </c>
      <c r="D205" s="14">
        <v>4</v>
      </c>
      <c r="E205" s="319"/>
      <c r="F205" s="265">
        <f t="shared" si="9"/>
        <v>0</v>
      </c>
      <c r="G205" s="95"/>
      <c r="H205" s="248">
        <f t="shared" si="8"/>
        <v>0</v>
      </c>
      <c r="I205" s="38"/>
      <c r="J205" s="38"/>
    </row>
    <row r="206" spans="1:10" ht="55.5" customHeight="1">
      <c r="A206" s="31">
        <v>14</v>
      </c>
      <c r="B206" s="10" t="s">
        <v>138</v>
      </c>
      <c r="C206" s="14" t="s">
        <v>10</v>
      </c>
      <c r="D206" s="14">
        <v>10</v>
      </c>
      <c r="E206" s="319"/>
      <c r="F206" s="265">
        <f t="shared" si="9"/>
        <v>0</v>
      </c>
      <c r="G206" s="95"/>
      <c r="H206" s="248">
        <f t="shared" si="8"/>
        <v>0</v>
      </c>
      <c r="I206" s="38"/>
      <c r="J206" s="38"/>
    </row>
    <row r="207" spans="1:10" ht="14.25">
      <c r="A207" s="31"/>
      <c r="B207" s="9" t="s">
        <v>11</v>
      </c>
      <c r="C207" s="24"/>
      <c r="D207" s="24"/>
      <c r="E207" s="24"/>
      <c r="F207" s="271">
        <f>SUM(F193:F206)</f>
        <v>0</v>
      </c>
      <c r="G207" s="24"/>
      <c r="H207" s="271">
        <f>SUM(H193:H206)</f>
        <v>0</v>
      </c>
      <c r="I207" s="24"/>
      <c r="J207" s="24"/>
    </row>
    <row r="208" spans="1:10" ht="14.25">
      <c r="A208" s="4"/>
      <c r="B208" s="4"/>
      <c r="C208" s="5"/>
      <c r="D208" s="5"/>
      <c r="E208" s="5"/>
      <c r="F208" s="5"/>
      <c r="G208" s="5"/>
      <c r="H208" s="5"/>
      <c r="I208" s="5"/>
      <c r="J208" s="58"/>
    </row>
    <row r="209" spans="1:10" ht="14.25">
      <c r="A209" s="344"/>
      <c r="B209" s="344"/>
      <c r="C209" s="344"/>
      <c r="D209" s="344"/>
      <c r="E209" s="344"/>
      <c r="F209" s="344"/>
      <c r="G209" s="344"/>
      <c r="H209" s="344"/>
      <c r="I209" s="344"/>
      <c r="J209" s="344"/>
    </row>
    <row r="210" spans="1:10" ht="14.25">
      <c r="A210" s="4"/>
      <c r="B210" s="4"/>
      <c r="C210" s="5"/>
      <c r="D210" s="5"/>
      <c r="E210" s="5"/>
      <c r="F210" s="5"/>
      <c r="G210" s="5"/>
      <c r="H210" s="5"/>
      <c r="I210" s="5"/>
      <c r="J210" s="58"/>
    </row>
    <row r="211" spans="1:10" ht="14.25">
      <c r="A211" s="4"/>
      <c r="B211" s="4"/>
      <c r="C211" s="4"/>
      <c r="D211" s="4"/>
      <c r="E211" s="4"/>
      <c r="F211" s="5"/>
      <c r="G211" s="4"/>
      <c r="H211" s="4"/>
      <c r="I211" s="4"/>
      <c r="J211" s="6"/>
    </row>
    <row r="212" spans="1:10" ht="14.25">
      <c r="A212" s="4"/>
      <c r="B212" s="4"/>
      <c r="C212" s="4"/>
      <c r="D212" s="4"/>
      <c r="E212" s="4"/>
      <c r="F212" s="5"/>
      <c r="G212" s="4"/>
      <c r="H212" s="4"/>
      <c r="I212" s="4"/>
      <c r="J212" s="54"/>
    </row>
    <row r="213" spans="1:10" ht="14.25">
      <c r="A213" s="4"/>
      <c r="B213" s="4"/>
      <c r="C213" s="4"/>
      <c r="D213" s="4"/>
      <c r="E213" s="4"/>
      <c r="F213" s="5"/>
      <c r="G213" s="4"/>
      <c r="H213" s="4"/>
      <c r="I213" s="334" t="s">
        <v>12</v>
      </c>
      <c r="J213" s="334"/>
    </row>
    <row r="214" spans="1:10" ht="14.25">
      <c r="A214" s="4"/>
      <c r="B214" s="4"/>
      <c r="C214" s="5"/>
      <c r="D214" s="5"/>
      <c r="E214" s="5"/>
      <c r="F214" s="5"/>
      <c r="G214" s="5"/>
      <c r="H214" s="5"/>
      <c r="I214" s="334" t="s">
        <v>13</v>
      </c>
      <c r="J214" s="334"/>
    </row>
    <row r="215" spans="1:10" s="57" customFormat="1" ht="15">
      <c r="A215" s="26" t="s">
        <v>320</v>
      </c>
      <c r="B215" s="55"/>
      <c r="C215" s="118"/>
      <c r="D215" s="55"/>
      <c r="E215" s="55"/>
      <c r="F215" s="53"/>
      <c r="G215" s="55"/>
      <c r="H215" s="55"/>
      <c r="I215" s="55"/>
      <c r="J215" s="55"/>
    </row>
    <row r="216" spans="1:10" s="64" customFormat="1" ht="40.5" customHeight="1">
      <c r="A216" s="7" t="s">
        <v>0</v>
      </c>
      <c r="B216" s="7" t="s">
        <v>1</v>
      </c>
      <c r="C216" s="7" t="s">
        <v>2</v>
      </c>
      <c r="D216" s="7" t="s">
        <v>3</v>
      </c>
      <c r="E216" s="7" t="s">
        <v>4</v>
      </c>
      <c r="F216" s="7" t="s">
        <v>5</v>
      </c>
      <c r="G216" s="7" t="s">
        <v>6</v>
      </c>
      <c r="H216" s="7" t="s">
        <v>7</v>
      </c>
      <c r="I216" s="8" t="s">
        <v>8</v>
      </c>
      <c r="J216" s="7" t="s">
        <v>14</v>
      </c>
    </row>
    <row r="217" spans="1:10" ht="57" customHeight="1">
      <c r="A217" s="15">
        <v>1</v>
      </c>
      <c r="B217" s="10" t="s">
        <v>139</v>
      </c>
      <c r="C217" s="14" t="s">
        <v>10</v>
      </c>
      <c r="D217" s="14">
        <v>1</v>
      </c>
      <c r="E217" s="318"/>
      <c r="F217" s="265">
        <f aca="true" t="shared" si="10" ref="F217:F222">D217*E217</f>
        <v>0</v>
      </c>
      <c r="G217" s="13"/>
      <c r="H217" s="248">
        <f aca="true" t="shared" si="11" ref="H217:H222">F217+(F217*G217)</f>
        <v>0</v>
      </c>
      <c r="I217" s="11"/>
      <c r="J217" s="14"/>
    </row>
    <row r="218" spans="1:10" ht="56.25" customHeight="1">
      <c r="A218" s="15">
        <v>2</v>
      </c>
      <c r="B218" s="10" t="s">
        <v>140</v>
      </c>
      <c r="C218" s="14" t="s">
        <v>10</v>
      </c>
      <c r="D218" s="14">
        <v>2</v>
      </c>
      <c r="E218" s="318"/>
      <c r="F218" s="265">
        <f t="shared" si="10"/>
        <v>0</v>
      </c>
      <c r="G218" s="13"/>
      <c r="H218" s="248">
        <f t="shared" si="11"/>
        <v>0</v>
      </c>
      <c r="I218" s="11"/>
      <c r="J218" s="14"/>
    </row>
    <row r="219" spans="1:10" ht="56.25" customHeight="1">
      <c r="A219" s="15">
        <v>3</v>
      </c>
      <c r="B219" s="10" t="s">
        <v>141</v>
      </c>
      <c r="C219" s="14" t="s">
        <v>10</v>
      </c>
      <c r="D219" s="14">
        <v>2</v>
      </c>
      <c r="E219" s="318"/>
      <c r="F219" s="265">
        <f t="shared" si="10"/>
        <v>0</v>
      </c>
      <c r="G219" s="13"/>
      <c r="H219" s="248">
        <f t="shared" si="11"/>
        <v>0</v>
      </c>
      <c r="I219" s="11"/>
      <c r="J219" s="14"/>
    </row>
    <row r="220" spans="1:10" ht="48.75" customHeight="1">
      <c r="A220" s="15">
        <v>4</v>
      </c>
      <c r="B220" s="10" t="s">
        <v>142</v>
      </c>
      <c r="C220" s="14" t="s">
        <v>10</v>
      </c>
      <c r="D220" s="14">
        <v>4</v>
      </c>
      <c r="E220" s="318"/>
      <c r="F220" s="265">
        <f t="shared" si="10"/>
        <v>0</v>
      </c>
      <c r="G220" s="13"/>
      <c r="H220" s="248">
        <f t="shared" si="11"/>
        <v>0</v>
      </c>
      <c r="I220" s="11"/>
      <c r="J220" s="14"/>
    </row>
    <row r="221" spans="1:10" ht="50.25" customHeight="1">
      <c r="A221" s="15">
        <v>5</v>
      </c>
      <c r="B221" s="10" t="s">
        <v>143</v>
      </c>
      <c r="C221" s="14" t="s">
        <v>10</v>
      </c>
      <c r="D221" s="14">
        <v>100</v>
      </c>
      <c r="E221" s="318"/>
      <c r="F221" s="265">
        <f t="shared" si="10"/>
        <v>0</v>
      </c>
      <c r="G221" s="13"/>
      <c r="H221" s="248">
        <f t="shared" si="11"/>
        <v>0</v>
      </c>
      <c r="I221" s="11"/>
      <c r="J221" s="14"/>
    </row>
    <row r="222" spans="1:10" ht="40.5" customHeight="1">
      <c r="A222" s="15">
        <v>6</v>
      </c>
      <c r="B222" s="10" t="s">
        <v>144</v>
      </c>
      <c r="C222" s="14" t="s">
        <v>10</v>
      </c>
      <c r="D222" s="14">
        <v>2</v>
      </c>
      <c r="E222" s="318"/>
      <c r="F222" s="265">
        <f t="shared" si="10"/>
        <v>0</v>
      </c>
      <c r="G222" s="13"/>
      <c r="H222" s="248">
        <f t="shared" si="11"/>
        <v>0</v>
      </c>
      <c r="I222" s="11"/>
      <c r="J222" s="14"/>
    </row>
    <row r="223" spans="1:10" ht="14.25">
      <c r="A223" s="15"/>
      <c r="B223" s="16" t="s">
        <v>11</v>
      </c>
      <c r="C223" s="17"/>
      <c r="D223" s="17"/>
      <c r="E223" s="17"/>
      <c r="F223" s="274">
        <f>SUM(F217:F222)</f>
        <v>0</v>
      </c>
      <c r="G223" s="40"/>
      <c r="H223" s="274">
        <f>SUM(H217:H222)</f>
        <v>0</v>
      </c>
      <c r="I223" s="17"/>
      <c r="J223" s="17"/>
    </row>
    <row r="224" spans="1:10" ht="14.25">
      <c r="A224" s="97"/>
      <c r="B224" s="4"/>
      <c r="C224" s="5"/>
      <c r="D224" s="5"/>
      <c r="E224" s="5"/>
      <c r="F224" s="5"/>
      <c r="G224" s="5"/>
      <c r="H224" s="5"/>
      <c r="I224" s="5"/>
      <c r="J224" s="58"/>
    </row>
    <row r="225" spans="1:10" ht="14.25">
      <c r="A225" s="344"/>
      <c r="B225" s="344"/>
      <c r="C225" s="344"/>
      <c r="D225" s="344"/>
      <c r="E225" s="344"/>
      <c r="F225" s="344"/>
      <c r="G225" s="344"/>
      <c r="H225" s="344"/>
      <c r="I225" s="344"/>
      <c r="J225" s="344"/>
    </row>
    <row r="226" spans="1:10" ht="14.25">
      <c r="A226" s="42"/>
      <c r="B226" s="42"/>
      <c r="C226" s="42"/>
      <c r="D226" s="42"/>
      <c r="E226" s="42"/>
      <c r="F226" s="42"/>
      <c r="G226" s="42"/>
      <c r="H226" s="42"/>
      <c r="I226" s="42"/>
      <c r="J226" s="42"/>
    </row>
    <row r="227" spans="1:10" ht="14.25">
      <c r="A227" s="42"/>
      <c r="B227" s="42"/>
      <c r="C227" s="42"/>
      <c r="D227" s="42"/>
      <c r="E227" s="42"/>
      <c r="F227" s="42"/>
      <c r="G227" s="42"/>
      <c r="H227" s="42"/>
      <c r="I227" s="42"/>
      <c r="J227" s="42"/>
    </row>
    <row r="228" spans="1:10" ht="14.25">
      <c r="A228" s="42"/>
      <c r="B228" s="42"/>
      <c r="C228" s="42"/>
      <c r="D228" s="42"/>
      <c r="E228" s="42"/>
      <c r="F228" s="42"/>
      <c r="G228" s="42"/>
      <c r="H228" s="42"/>
      <c r="I228" s="334" t="s">
        <v>12</v>
      </c>
      <c r="J228" s="334"/>
    </row>
    <row r="229" spans="1:10" ht="14.25">
      <c r="A229" s="42"/>
      <c r="B229" s="42"/>
      <c r="C229" s="42"/>
      <c r="D229" s="42"/>
      <c r="E229" s="42"/>
      <c r="F229" s="43"/>
      <c r="G229" s="42"/>
      <c r="H229" s="42"/>
      <c r="I229" s="334" t="s">
        <v>13</v>
      </c>
      <c r="J229" s="334"/>
    </row>
    <row r="230" spans="1:10" ht="15">
      <c r="A230" s="26" t="s">
        <v>321</v>
      </c>
      <c r="B230" s="55"/>
      <c r="C230" s="118"/>
      <c r="D230" s="55"/>
      <c r="E230" s="55"/>
      <c r="F230" s="53"/>
      <c r="G230" s="55"/>
      <c r="H230" s="55"/>
      <c r="I230" s="55"/>
      <c r="J230" s="55"/>
    </row>
    <row r="231" spans="1:10" ht="24">
      <c r="A231" s="7" t="s">
        <v>0</v>
      </c>
      <c r="B231" s="7" t="s">
        <v>1</v>
      </c>
      <c r="C231" s="7" t="s">
        <v>2</v>
      </c>
      <c r="D231" s="7" t="s">
        <v>3</v>
      </c>
      <c r="E231" s="7" t="s">
        <v>4</v>
      </c>
      <c r="F231" s="7" t="s">
        <v>5</v>
      </c>
      <c r="G231" s="7" t="s">
        <v>6</v>
      </c>
      <c r="H231" s="7" t="s">
        <v>7</v>
      </c>
      <c r="I231" s="8" t="s">
        <v>8</v>
      </c>
      <c r="J231" s="7" t="s">
        <v>14</v>
      </c>
    </row>
    <row r="232" spans="1:10" ht="87" customHeight="1">
      <c r="A232" s="15">
        <v>1</v>
      </c>
      <c r="B232" s="10" t="s">
        <v>145</v>
      </c>
      <c r="C232" s="14" t="s">
        <v>10</v>
      </c>
      <c r="D232" s="14">
        <v>10</v>
      </c>
      <c r="E232" s="318"/>
      <c r="F232" s="265">
        <f>D232*E232</f>
        <v>0</v>
      </c>
      <c r="G232" s="13"/>
      <c r="H232" s="248">
        <f>F232+(F232*G232)</f>
        <v>0</v>
      </c>
      <c r="I232" s="11"/>
      <c r="J232" s="14"/>
    </row>
    <row r="233" spans="1:10" ht="14.25">
      <c r="A233" s="15"/>
      <c r="B233" s="16" t="s">
        <v>11</v>
      </c>
      <c r="C233" s="17"/>
      <c r="D233" s="17"/>
      <c r="E233" s="17"/>
      <c r="F233" s="274">
        <f>SUM(F232)</f>
        <v>0</v>
      </c>
      <c r="G233" s="40"/>
      <c r="H233" s="274">
        <f>SUM(H232)</f>
        <v>0</v>
      </c>
      <c r="I233" s="17"/>
      <c r="J233" s="17"/>
    </row>
    <row r="234" spans="1:10" ht="14.25">
      <c r="A234" s="4"/>
      <c r="B234" s="4"/>
      <c r="C234" s="5"/>
      <c r="D234" s="5"/>
      <c r="E234" s="5"/>
      <c r="F234" s="5"/>
      <c r="G234" s="5"/>
      <c r="H234" s="5"/>
      <c r="I234" s="5"/>
      <c r="J234" s="4"/>
    </row>
    <row r="235" spans="1:10" ht="14.25">
      <c r="A235" s="4"/>
      <c r="B235" s="4"/>
      <c r="C235" s="5"/>
      <c r="D235" s="5"/>
      <c r="E235" s="5"/>
      <c r="F235" s="5"/>
      <c r="G235" s="5"/>
      <c r="H235" s="5"/>
      <c r="I235" s="5"/>
      <c r="J235" s="4"/>
    </row>
    <row r="236" spans="1:10" ht="14.25">
      <c r="A236" s="4"/>
      <c r="B236" s="4"/>
      <c r="C236" s="5"/>
      <c r="D236" s="5"/>
      <c r="E236" s="5"/>
      <c r="F236" s="5"/>
      <c r="G236" s="5"/>
      <c r="H236" s="5"/>
      <c r="I236" s="334" t="s">
        <v>12</v>
      </c>
      <c r="J236" s="334"/>
    </row>
    <row r="237" spans="1:10" ht="14.25">
      <c r="A237" s="4"/>
      <c r="B237" s="4"/>
      <c r="C237" s="5"/>
      <c r="D237" s="5"/>
      <c r="E237" s="5"/>
      <c r="F237" s="5"/>
      <c r="G237" s="5"/>
      <c r="H237" s="5"/>
      <c r="I237" s="334" t="s">
        <v>13</v>
      </c>
      <c r="J237" s="334"/>
    </row>
    <row r="238" spans="1:10" ht="15">
      <c r="A238" s="26" t="s">
        <v>322</v>
      </c>
      <c r="B238" s="55"/>
      <c r="C238" s="118"/>
      <c r="D238" s="55"/>
      <c r="E238" s="55"/>
      <c r="F238" s="53"/>
      <c r="G238" s="55"/>
      <c r="H238" s="55"/>
      <c r="I238" s="55"/>
      <c r="J238" s="55"/>
    </row>
    <row r="239" spans="1:10" ht="24">
      <c r="A239" s="7" t="s">
        <v>0</v>
      </c>
      <c r="B239" s="7" t="s">
        <v>1</v>
      </c>
      <c r="C239" s="7" t="s">
        <v>2</v>
      </c>
      <c r="D239" s="7" t="s">
        <v>3</v>
      </c>
      <c r="E239" s="7" t="s">
        <v>4</v>
      </c>
      <c r="F239" s="7" t="s">
        <v>5</v>
      </c>
      <c r="G239" s="7" t="s">
        <v>6</v>
      </c>
      <c r="H239" s="7" t="s">
        <v>7</v>
      </c>
      <c r="I239" s="8" t="s">
        <v>8</v>
      </c>
      <c r="J239" s="7" t="s">
        <v>14</v>
      </c>
    </row>
    <row r="240" spans="1:10" ht="51" customHeight="1">
      <c r="A240" s="15">
        <v>1</v>
      </c>
      <c r="B240" s="10" t="s">
        <v>146</v>
      </c>
      <c r="C240" s="14" t="s">
        <v>10</v>
      </c>
      <c r="D240" s="14">
        <v>2</v>
      </c>
      <c r="E240" s="318"/>
      <c r="F240" s="265">
        <f>D240*E240</f>
        <v>0</v>
      </c>
      <c r="G240" s="13"/>
      <c r="H240" s="248">
        <f>F240+(F240*G240)</f>
        <v>0</v>
      </c>
      <c r="I240" s="11"/>
      <c r="J240" s="14"/>
    </row>
    <row r="241" spans="1:10" ht="14.25">
      <c r="A241" s="15"/>
      <c r="B241" s="16" t="s">
        <v>11</v>
      </c>
      <c r="C241" s="17"/>
      <c r="D241" s="17"/>
      <c r="E241" s="17"/>
      <c r="F241" s="274">
        <f>SUM(F240)</f>
        <v>0</v>
      </c>
      <c r="G241" s="40"/>
      <c r="H241" s="274">
        <f>SUM(H240)</f>
        <v>0</v>
      </c>
      <c r="I241" s="17"/>
      <c r="J241" s="17"/>
    </row>
    <row r="242" spans="1:10" ht="20.25" customHeight="1">
      <c r="A242" s="19"/>
      <c r="B242" s="20"/>
      <c r="C242" s="21"/>
      <c r="D242" s="21"/>
      <c r="E242" s="21"/>
      <c r="F242" s="22"/>
      <c r="G242" s="91"/>
      <c r="H242" s="21"/>
      <c r="I242" s="21"/>
      <c r="J242" s="21"/>
    </row>
    <row r="243" spans="1:10" ht="20.25" customHeight="1">
      <c r="A243" s="19"/>
      <c r="B243" s="20"/>
      <c r="C243" s="21"/>
      <c r="D243" s="21"/>
      <c r="E243" s="21"/>
      <c r="F243" s="22"/>
      <c r="G243" s="91"/>
      <c r="H243" s="21"/>
      <c r="I243" s="21"/>
      <c r="J243" s="21"/>
    </row>
    <row r="244" spans="1:10" ht="14.25" customHeight="1">
      <c r="A244" s="19"/>
      <c r="B244" s="20"/>
      <c r="C244" s="21"/>
      <c r="D244" s="21"/>
      <c r="E244" s="21"/>
      <c r="F244" s="22"/>
      <c r="G244" s="91"/>
      <c r="H244" s="21"/>
      <c r="I244" s="334" t="s">
        <v>12</v>
      </c>
      <c r="J244" s="334"/>
    </row>
    <row r="245" spans="1:10" ht="14.25">
      <c r="A245" s="4"/>
      <c r="B245" s="4"/>
      <c r="C245" s="5"/>
      <c r="D245" s="5"/>
      <c r="E245" s="5"/>
      <c r="F245" s="5"/>
      <c r="G245" s="5"/>
      <c r="H245" s="5"/>
      <c r="I245" s="334" t="s">
        <v>13</v>
      </c>
      <c r="J245" s="334"/>
    </row>
    <row r="246" spans="1:10" s="57" customFormat="1" ht="15">
      <c r="A246" s="26" t="s">
        <v>323</v>
      </c>
      <c r="B246" s="55"/>
      <c r="C246" s="53"/>
      <c r="D246" s="53"/>
      <c r="E246" s="53"/>
      <c r="F246" s="53"/>
      <c r="G246" s="53"/>
      <c r="H246" s="53"/>
      <c r="I246" s="53"/>
      <c r="J246" s="55"/>
    </row>
    <row r="247" spans="1:10" s="64" customFormat="1" ht="40.5" customHeight="1">
      <c r="A247" s="28" t="s">
        <v>0</v>
      </c>
      <c r="B247" s="119" t="s">
        <v>1</v>
      </c>
      <c r="C247" s="29" t="s">
        <v>2</v>
      </c>
      <c r="D247" s="29" t="s">
        <v>3</v>
      </c>
      <c r="E247" s="29" t="s">
        <v>4</v>
      </c>
      <c r="F247" s="29" t="s">
        <v>5</v>
      </c>
      <c r="G247" s="29" t="s">
        <v>6</v>
      </c>
      <c r="H247" s="29" t="s">
        <v>7</v>
      </c>
      <c r="I247" s="120" t="s">
        <v>8</v>
      </c>
      <c r="J247" s="29" t="s">
        <v>9</v>
      </c>
    </row>
    <row r="248" spans="1:10" s="122" customFormat="1" ht="51">
      <c r="A248" s="31" t="s">
        <v>30</v>
      </c>
      <c r="B248" s="121" t="s">
        <v>288</v>
      </c>
      <c r="C248" s="90" t="s">
        <v>45</v>
      </c>
      <c r="D248" s="61">
        <f>600+10+5000+11000+14000+8000+1000+600+20000+5000+3000+4000+450+1000+500+1000+40+700+100+1000+7000+1000+5000</f>
        <v>90000</v>
      </c>
      <c r="E248" s="34"/>
      <c r="F248" s="268">
        <f>D248*E248</f>
        <v>0</v>
      </c>
      <c r="G248" s="35"/>
      <c r="H248" s="248">
        <f aca="true" t="shared" si="12" ref="H248:H269">F248+(F248*G248)</f>
        <v>0</v>
      </c>
      <c r="I248" s="36"/>
      <c r="J248" s="36"/>
    </row>
    <row r="249" spans="1:10" s="122" customFormat="1" ht="55.5" customHeight="1">
      <c r="A249" s="31" t="s">
        <v>16</v>
      </c>
      <c r="B249" s="121" t="s">
        <v>147</v>
      </c>
      <c r="C249" s="90" t="s">
        <v>10</v>
      </c>
      <c r="D249" s="61">
        <f>1000+1000+2000+50+800+20+7000+10+2500+500+1500+20+100+500</f>
        <v>17000</v>
      </c>
      <c r="E249" s="34"/>
      <c r="F249" s="268">
        <f aca="true" t="shared" si="13" ref="F249:F269">D249*E249</f>
        <v>0</v>
      </c>
      <c r="G249" s="35"/>
      <c r="H249" s="248">
        <f t="shared" si="12"/>
        <v>0</v>
      </c>
      <c r="I249" s="36"/>
      <c r="J249" s="36"/>
    </row>
    <row r="250" spans="1:10" s="122" customFormat="1" ht="32.25" customHeight="1">
      <c r="A250" s="31" t="s">
        <v>17</v>
      </c>
      <c r="B250" s="121" t="s">
        <v>148</v>
      </c>
      <c r="C250" s="90" t="s">
        <v>10</v>
      </c>
      <c r="D250" s="61">
        <f>120+100+20+500+50+30+20+600+300+200+200+60</f>
        <v>2200</v>
      </c>
      <c r="E250" s="34"/>
      <c r="F250" s="268">
        <f t="shared" si="13"/>
        <v>0</v>
      </c>
      <c r="G250" s="35"/>
      <c r="H250" s="248">
        <f t="shared" si="12"/>
        <v>0</v>
      </c>
      <c r="I250" s="36"/>
      <c r="J250" s="36"/>
    </row>
    <row r="251" spans="1:10" ht="54" customHeight="1">
      <c r="A251" s="31" t="s">
        <v>18</v>
      </c>
      <c r="B251" s="123" t="s">
        <v>149</v>
      </c>
      <c r="C251" s="124" t="s">
        <v>150</v>
      </c>
      <c r="D251" s="124">
        <f>1+100+60+10+10+3+10+6+100</f>
        <v>300</v>
      </c>
      <c r="E251" s="125"/>
      <c r="F251" s="268">
        <f t="shared" si="13"/>
        <v>0</v>
      </c>
      <c r="G251" s="126"/>
      <c r="H251" s="248">
        <f t="shared" si="12"/>
        <v>0</v>
      </c>
      <c r="I251" s="127"/>
      <c r="J251" s="127"/>
    </row>
    <row r="252" spans="1:10" ht="48" customHeight="1">
      <c r="A252" s="31" t="s">
        <v>19</v>
      </c>
      <c r="B252" s="121" t="s">
        <v>151</v>
      </c>
      <c r="C252" s="14" t="s">
        <v>150</v>
      </c>
      <c r="D252" s="14">
        <f>200+500+50+2+3+50+50+10+80+2+3+50</f>
        <v>1000</v>
      </c>
      <c r="E252" s="319"/>
      <c r="F252" s="268">
        <f t="shared" si="13"/>
        <v>0</v>
      </c>
      <c r="G252" s="95"/>
      <c r="H252" s="248">
        <f t="shared" si="12"/>
        <v>0</v>
      </c>
      <c r="I252" s="38"/>
      <c r="J252" s="38"/>
    </row>
    <row r="253" spans="1:10" ht="30" customHeight="1">
      <c r="A253" s="31" t="s">
        <v>21</v>
      </c>
      <c r="B253" s="121" t="s">
        <v>152</v>
      </c>
      <c r="C253" s="14" t="s">
        <v>10</v>
      </c>
      <c r="D253" s="14">
        <f>100+50+50</f>
        <v>200</v>
      </c>
      <c r="E253" s="319"/>
      <c r="F253" s="268">
        <f t="shared" si="13"/>
        <v>0</v>
      </c>
      <c r="G253" s="95"/>
      <c r="H253" s="248">
        <f t="shared" si="12"/>
        <v>0</v>
      </c>
      <c r="I253" s="38"/>
      <c r="J253" s="38"/>
    </row>
    <row r="254" spans="1:10" ht="38.25">
      <c r="A254" s="31" t="s">
        <v>27</v>
      </c>
      <c r="B254" s="121" t="s">
        <v>255</v>
      </c>
      <c r="C254" s="14" t="s">
        <v>150</v>
      </c>
      <c r="D254" s="14">
        <f>100</f>
        <v>100</v>
      </c>
      <c r="E254" s="319"/>
      <c r="F254" s="268">
        <f t="shared" si="13"/>
        <v>0</v>
      </c>
      <c r="G254" s="95"/>
      <c r="H254" s="248">
        <f t="shared" si="12"/>
        <v>0</v>
      </c>
      <c r="I254" s="38"/>
      <c r="J254" s="38"/>
    </row>
    <row r="255" spans="1:10" ht="30" customHeight="1">
      <c r="A255" s="31" t="s">
        <v>31</v>
      </c>
      <c r="B255" s="121" t="s">
        <v>153</v>
      </c>
      <c r="C255" s="14" t="s">
        <v>10</v>
      </c>
      <c r="D255" s="14">
        <f>10</f>
        <v>10</v>
      </c>
      <c r="E255" s="319"/>
      <c r="F255" s="268">
        <f t="shared" si="13"/>
        <v>0</v>
      </c>
      <c r="G255" s="95"/>
      <c r="H255" s="248">
        <f t="shared" si="12"/>
        <v>0</v>
      </c>
      <c r="I255" s="38"/>
      <c r="J255" s="38"/>
    </row>
    <row r="256" spans="1:10" ht="30" customHeight="1">
      <c r="A256" s="31" t="s">
        <v>32</v>
      </c>
      <c r="B256" s="121" t="s">
        <v>154</v>
      </c>
      <c r="C256" s="14" t="s">
        <v>10</v>
      </c>
      <c r="D256" s="14">
        <f>5000+100+800</f>
        <v>5900</v>
      </c>
      <c r="E256" s="319"/>
      <c r="F256" s="268">
        <f t="shared" si="13"/>
        <v>0</v>
      </c>
      <c r="G256" s="95"/>
      <c r="H256" s="248">
        <f t="shared" si="12"/>
        <v>0</v>
      </c>
      <c r="I256" s="38"/>
      <c r="J256" s="38"/>
    </row>
    <row r="257" spans="1:10" ht="33" customHeight="1">
      <c r="A257" s="31" t="s">
        <v>33</v>
      </c>
      <c r="B257" s="121" t="s">
        <v>155</v>
      </c>
      <c r="C257" s="14" t="s">
        <v>65</v>
      </c>
      <c r="D257" s="14">
        <f>200</f>
        <v>200</v>
      </c>
      <c r="E257" s="318"/>
      <c r="F257" s="268">
        <f t="shared" si="13"/>
        <v>0</v>
      </c>
      <c r="G257" s="13"/>
      <c r="H257" s="248">
        <f t="shared" si="12"/>
        <v>0</v>
      </c>
      <c r="I257" s="11"/>
      <c r="J257" s="14"/>
    </row>
    <row r="258" spans="1:10" ht="30" customHeight="1">
      <c r="A258" s="31" t="s">
        <v>34</v>
      </c>
      <c r="B258" s="121" t="s">
        <v>156</v>
      </c>
      <c r="C258" s="14" t="s">
        <v>157</v>
      </c>
      <c r="D258" s="14">
        <f>15+2+3</f>
        <v>20</v>
      </c>
      <c r="E258" s="318"/>
      <c r="F258" s="268">
        <f t="shared" si="13"/>
        <v>0</v>
      </c>
      <c r="G258" s="95"/>
      <c r="H258" s="248">
        <f t="shared" si="12"/>
        <v>0</v>
      </c>
      <c r="I258" s="38"/>
      <c r="J258" s="38"/>
    </row>
    <row r="259" spans="1:10" ht="36.75" customHeight="1">
      <c r="A259" s="31" t="s">
        <v>35</v>
      </c>
      <c r="B259" s="121" t="s">
        <v>158</v>
      </c>
      <c r="C259" s="14" t="s">
        <v>10</v>
      </c>
      <c r="D259" s="14">
        <f>5+50+30+5</f>
        <v>90</v>
      </c>
      <c r="E259" s="319"/>
      <c r="F259" s="268">
        <f t="shared" si="13"/>
        <v>0</v>
      </c>
      <c r="G259" s="95"/>
      <c r="H259" s="248">
        <f t="shared" si="12"/>
        <v>0</v>
      </c>
      <c r="I259" s="38"/>
      <c r="J259" s="38"/>
    </row>
    <row r="260" spans="1:10" ht="58.5" customHeight="1">
      <c r="A260" s="31" t="s">
        <v>36</v>
      </c>
      <c r="B260" s="121" t="s">
        <v>159</v>
      </c>
      <c r="C260" s="14" t="s">
        <v>45</v>
      </c>
      <c r="D260" s="14">
        <f>50+6+2+50+6+30+2+30+10+12+50+10+2+30</f>
        <v>290</v>
      </c>
      <c r="E260" s="319"/>
      <c r="F260" s="268">
        <f t="shared" si="13"/>
        <v>0</v>
      </c>
      <c r="G260" s="95"/>
      <c r="H260" s="248">
        <f t="shared" si="12"/>
        <v>0</v>
      </c>
      <c r="I260" s="38"/>
      <c r="J260" s="38"/>
    </row>
    <row r="261" spans="1:10" ht="30" customHeight="1">
      <c r="A261" s="31" t="s">
        <v>37</v>
      </c>
      <c r="B261" s="121" t="s">
        <v>160</v>
      </c>
      <c r="C261" s="14" t="s">
        <v>15</v>
      </c>
      <c r="D261" s="14">
        <f>300+20+200+50+25+6000+60+50+130+50+10+300+2000+5</f>
        <v>9200</v>
      </c>
      <c r="E261" s="319"/>
      <c r="F261" s="268">
        <f t="shared" si="13"/>
        <v>0</v>
      </c>
      <c r="G261" s="95"/>
      <c r="H261" s="248">
        <f t="shared" si="12"/>
        <v>0</v>
      </c>
      <c r="I261" s="38"/>
      <c r="J261" s="38"/>
    </row>
    <row r="262" spans="1:10" ht="30" customHeight="1">
      <c r="A262" s="31" t="s">
        <v>28</v>
      </c>
      <c r="B262" s="121" t="s">
        <v>161</v>
      </c>
      <c r="C262" s="14" t="s">
        <v>45</v>
      </c>
      <c r="D262" s="14">
        <f>260+200+1500+200+720+500+400+50+50+120</f>
        <v>4000</v>
      </c>
      <c r="E262" s="319"/>
      <c r="F262" s="268">
        <f t="shared" si="13"/>
        <v>0</v>
      </c>
      <c r="G262" s="95"/>
      <c r="H262" s="248">
        <f t="shared" si="12"/>
        <v>0</v>
      </c>
      <c r="I262" s="38"/>
      <c r="J262" s="38"/>
    </row>
    <row r="263" spans="1:10" ht="30" customHeight="1">
      <c r="A263" s="31" t="s">
        <v>38</v>
      </c>
      <c r="B263" s="121" t="s">
        <v>162</v>
      </c>
      <c r="C263" s="14" t="s">
        <v>10</v>
      </c>
      <c r="D263" s="14">
        <f>60</f>
        <v>60</v>
      </c>
      <c r="E263" s="319"/>
      <c r="F263" s="268">
        <f t="shared" si="13"/>
        <v>0</v>
      </c>
      <c r="G263" s="95"/>
      <c r="H263" s="248">
        <f t="shared" si="12"/>
        <v>0</v>
      </c>
      <c r="I263" s="38"/>
      <c r="J263" s="38"/>
    </row>
    <row r="264" spans="1:10" ht="30" customHeight="1">
      <c r="A264" s="31" t="s">
        <v>39</v>
      </c>
      <c r="B264" s="121" t="s">
        <v>163</v>
      </c>
      <c r="C264" s="14" t="s">
        <v>10</v>
      </c>
      <c r="D264" s="14">
        <f>5000</f>
        <v>5000</v>
      </c>
      <c r="E264" s="319"/>
      <c r="F264" s="268">
        <f t="shared" si="13"/>
        <v>0</v>
      </c>
      <c r="G264" s="95"/>
      <c r="H264" s="248">
        <f t="shared" si="12"/>
        <v>0</v>
      </c>
      <c r="I264" s="38"/>
      <c r="J264" s="38"/>
    </row>
    <row r="265" spans="1:10" ht="45.75" customHeight="1">
      <c r="A265" s="31" t="s">
        <v>40</v>
      </c>
      <c r="B265" s="121" t="s">
        <v>164</v>
      </c>
      <c r="C265" s="14" t="s">
        <v>165</v>
      </c>
      <c r="D265" s="14">
        <f>10+2+20+10+10+20+11+5+10+2</f>
        <v>100</v>
      </c>
      <c r="E265" s="319"/>
      <c r="F265" s="268">
        <f t="shared" si="13"/>
        <v>0</v>
      </c>
      <c r="G265" s="95"/>
      <c r="H265" s="248">
        <f t="shared" si="12"/>
        <v>0</v>
      </c>
      <c r="I265" s="38"/>
      <c r="J265" s="38"/>
    </row>
    <row r="266" spans="1:10" ht="45.75" customHeight="1">
      <c r="A266" s="31" t="s">
        <v>41</v>
      </c>
      <c r="B266" s="121" t="s">
        <v>281</v>
      </c>
      <c r="C266" s="14" t="s">
        <v>208</v>
      </c>
      <c r="D266" s="14">
        <v>300</v>
      </c>
      <c r="E266" s="319"/>
      <c r="F266" s="268">
        <f>D266*E266</f>
        <v>0</v>
      </c>
      <c r="G266" s="95"/>
      <c r="H266" s="248">
        <f t="shared" si="12"/>
        <v>0</v>
      </c>
      <c r="I266" s="38"/>
      <c r="J266" s="38"/>
    </row>
    <row r="267" spans="1:10" ht="39" customHeight="1">
      <c r="A267" s="31" t="s">
        <v>42</v>
      </c>
      <c r="B267" s="121" t="s">
        <v>166</v>
      </c>
      <c r="C267" s="14" t="s">
        <v>45</v>
      </c>
      <c r="D267" s="14">
        <f>1000+250</f>
        <v>1250</v>
      </c>
      <c r="E267" s="319"/>
      <c r="F267" s="268">
        <f t="shared" si="13"/>
        <v>0</v>
      </c>
      <c r="G267" s="95"/>
      <c r="H267" s="248">
        <f t="shared" si="12"/>
        <v>0</v>
      </c>
      <c r="I267" s="11"/>
      <c r="J267" s="14"/>
    </row>
    <row r="268" spans="1:10" ht="30" customHeight="1">
      <c r="A268" s="31" t="s">
        <v>43</v>
      </c>
      <c r="B268" s="121" t="s">
        <v>283</v>
      </c>
      <c r="C268" s="14" t="s">
        <v>45</v>
      </c>
      <c r="D268" s="14">
        <f>5+500+1200+100+100+800+10+30</f>
        <v>2745</v>
      </c>
      <c r="E268" s="319"/>
      <c r="F268" s="268">
        <f t="shared" si="13"/>
        <v>0</v>
      </c>
      <c r="G268" s="95"/>
      <c r="H268" s="248">
        <f t="shared" si="12"/>
        <v>0</v>
      </c>
      <c r="I268" s="11"/>
      <c r="J268" s="14"/>
    </row>
    <row r="269" spans="1:10" ht="33" customHeight="1">
      <c r="A269" s="31" t="s">
        <v>44</v>
      </c>
      <c r="B269" s="244" t="s">
        <v>167</v>
      </c>
      <c r="C269" s="141" t="s">
        <v>29</v>
      </c>
      <c r="D269" s="141">
        <f>10+10+10+2+20+20+3</f>
        <v>75</v>
      </c>
      <c r="E269" s="325"/>
      <c r="F269" s="280">
        <f t="shared" si="13"/>
        <v>0</v>
      </c>
      <c r="G269" s="245"/>
      <c r="H269" s="248">
        <f t="shared" si="12"/>
        <v>0</v>
      </c>
      <c r="I269" s="246"/>
      <c r="J269" s="141"/>
    </row>
    <row r="270" spans="1:10" ht="14.25">
      <c r="A270" s="31"/>
      <c r="B270" s="9" t="s">
        <v>11</v>
      </c>
      <c r="C270" s="24"/>
      <c r="D270" s="24"/>
      <c r="E270" s="24"/>
      <c r="F270" s="271">
        <f>SUM(F248:F269)</f>
        <v>0</v>
      </c>
      <c r="G270" s="25"/>
      <c r="H270" s="271">
        <f>SUM(H248:H269)</f>
        <v>0</v>
      </c>
      <c r="I270" s="24"/>
      <c r="J270" s="24"/>
    </row>
    <row r="271" spans="1:10" ht="14.25">
      <c r="A271" s="129"/>
      <c r="B271" s="129"/>
      <c r="C271" s="129"/>
      <c r="D271" s="129"/>
      <c r="E271" s="129"/>
      <c r="F271" s="129"/>
      <c r="G271" s="129"/>
      <c r="H271" s="129"/>
      <c r="I271" s="129"/>
      <c r="J271" s="58"/>
    </row>
    <row r="272" spans="1:10" ht="14.25">
      <c r="A272" s="129"/>
      <c r="B272" s="129"/>
      <c r="C272" s="129"/>
      <c r="D272" s="129"/>
      <c r="E272" s="129"/>
      <c r="F272" s="129"/>
      <c r="G272" s="129"/>
      <c r="H272" s="129"/>
      <c r="I272" s="334" t="s">
        <v>12</v>
      </c>
      <c r="J272" s="334"/>
    </row>
    <row r="273" spans="1:10" ht="14.25">
      <c r="A273" s="129"/>
      <c r="B273" s="129"/>
      <c r="C273" s="129"/>
      <c r="D273" s="129"/>
      <c r="E273" s="129"/>
      <c r="F273" s="129"/>
      <c r="G273" s="129"/>
      <c r="H273" s="129"/>
      <c r="I273" s="334" t="s">
        <v>13</v>
      </c>
      <c r="J273" s="334"/>
    </row>
    <row r="274" spans="1:10" ht="15">
      <c r="A274" s="26" t="s">
        <v>324</v>
      </c>
      <c r="B274" s="27"/>
      <c r="C274" s="82"/>
      <c r="D274" s="5"/>
      <c r="E274" s="5"/>
      <c r="F274" s="5"/>
      <c r="G274" s="5"/>
      <c r="H274" s="5"/>
      <c r="I274" s="5"/>
      <c r="J274" s="4"/>
    </row>
    <row r="275" spans="1:10" ht="38.25">
      <c r="A275" s="29" t="s">
        <v>0</v>
      </c>
      <c r="B275" s="29" t="s">
        <v>1</v>
      </c>
      <c r="C275" s="29" t="s">
        <v>2</v>
      </c>
      <c r="D275" s="29" t="s">
        <v>3</v>
      </c>
      <c r="E275" s="29" t="s">
        <v>4</v>
      </c>
      <c r="F275" s="29" t="s">
        <v>5</v>
      </c>
      <c r="G275" s="29" t="s">
        <v>6</v>
      </c>
      <c r="H275" s="29" t="s">
        <v>7</v>
      </c>
      <c r="I275" s="120" t="s">
        <v>8</v>
      </c>
      <c r="J275" s="29" t="s">
        <v>14</v>
      </c>
    </row>
    <row r="276" spans="1:10" ht="30" customHeight="1">
      <c r="A276" s="130">
        <v>1</v>
      </c>
      <c r="B276" s="32" t="s">
        <v>168</v>
      </c>
      <c r="C276" s="131" t="s">
        <v>10</v>
      </c>
      <c r="D276" s="131">
        <f>10+8+6+2+2+10+2</f>
        <v>40</v>
      </c>
      <c r="E276" s="131"/>
      <c r="F276" s="278">
        <f>D276*E276</f>
        <v>0</v>
      </c>
      <c r="G276" s="92"/>
      <c r="H276" s="248">
        <f aca="true" t="shared" si="14" ref="H276:H284">F276+(F276*G276)</f>
        <v>0</v>
      </c>
      <c r="I276" s="62"/>
      <c r="J276" s="62"/>
    </row>
    <row r="277" spans="1:10" ht="30" customHeight="1">
      <c r="A277" s="130">
        <v>2</v>
      </c>
      <c r="B277" s="32" t="s">
        <v>169</v>
      </c>
      <c r="C277" s="131" t="s">
        <v>10</v>
      </c>
      <c r="D277" s="131">
        <f>2+2</f>
        <v>4</v>
      </c>
      <c r="E277" s="131"/>
      <c r="F277" s="278">
        <f aca="true" t="shared" si="15" ref="F277:F284">D277*E277</f>
        <v>0</v>
      </c>
      <c r="G277" s="92"/>
      <c r="H277" s="248">
        <f t="shared" si="14"/>
        <v>0</v>
      </c>
      <c r="I277" s="62"/>
      <c r="J277" s="62"/>
    </row>
    <row r="278" spans="1:10" ht="30" customHeight="1">
      <c r="A278" s="130">
        <v>3</v>
      </c>
      <c r="B278" s="32" t="s">
        <v>170</v>
      </c>
      <c r="C278" s="131" t="s">
        <v>10</v>
      </c>
      <c r="D278" s="131">
        <f>4+2+2+2</f>
        <v>10</v>
      </c>
      <c r="E278" s="131"/>
      <c r="F278" s="278">
        <f t="shared" si="15"/>
        <v>0</v>
      </c>
      <c r="G278" s="92"/>
      <c r="H278" s="248">
        <f t="shared" si="14"/>
        <v>0</v>
      </c>
      <c r="I278" s="62"/>
      <c r="J278" s="62"/>
    </row>
    <row r="279" spans="1:10" ht="30" customHeight="1">
      <c r="A279" s="130">
        <v>4</v>
      </c>
      <c r="B279" s="32" t="s">
        <v>171</v>
      </c>
      <c r="C279" s="131" t="s">
        <v>10</v>
      </c>
      <c r="D279" s="131">
        <f>6+4+10+5+3+12+5+3</f>
        <v>48</v>
      </c>
      <c r="E279" s="131"/>
      <c r="F279" s="278">
        <f t="shared" si="15"/>
        <v>0</v>
      </c>
      <c r="G279" s="92"/>
      <c r="H279" s="248">
        <f t="shared" si="14"/>
        <v>0</v>
      </c>
      <c r="I279" s="62"/>
      <c r="J279" s="62"/>
    </row>
    <row r="280" spans="1:10" ht="40.5" customHeight="1">
      <c r="A280" s="130">
        <v>5</v>
      </c>
      <c r="B280" s="32" t="s">
        <v>172</v>
      </c>
      <c r="C280" s="131" t="s">
        <v>10</v>
      </c>
      <c r="D280" s="131">
        <f>50</f>
        <v>50</v>
      </c>
      <c r="E280" s="131"/>
      <c r="F280" s="278">
        <f t="shared" si="15"/>
        <v>0</v>
      </c>
      <c r="G280" s="92"/>
      <c r="H280" s="248">
        <f t="shared" si="14"/>
        <v>0</v>
      </c>
      <c r="I280" s="62"/>
      <c r="J280" s="62"/>
    </row>
    <row r="281" spans="1:10" ht="29.25" customHeight="1">
      <c r="A281" s="130">
        <v>6</v>
      </c>
      <c r="B281" s="32" t="s">
        <v>173</v>
      </c>
      <c r="C281" s="131" t="s">
        <v>10</v>
      </c>
      <c r="D281" s="131">
        <f>150</f>
        <v>150</v>
      </c>
      <c r="E281" s="131"/>
      <c r="F281" s="278">
        <f t="shared" si="15"/>
        <v>0</v>
      </c>
      <c r="G281" s="92"/>
      <c r="H281" s="248">
        <f t="shared" si="14"/>
        <v>0</v>
      </c>
      <c r="I281" s="62"/>
      <c r="J281" s="62"/>
    </row>
    <row r="282" spans="1:10" ht="30" customHeight="1">
      <c r="A282" s="130">
        <v>7</v>
      </c>
      <c r="B282" s="32" t="s">
        <v>174</v>
      </c>
      <c r="C282" s="131" t="s">
        <v>10</v>
      </c>
      <c r="D282" s="131">
        <f>55+100+20+12+10</f>
        <v>197</v>
      </c>
      <c r="E282" s="131"/>
      <c r="F282" s="278">
        <f t="shared" si="15"/>
        <v>0</v>
      </c>
      <c r="G282" s="92"/>
      <c r="H282" s="248">
        <f t="shared" si="14"/>
        <v>0</v>
      </c>
      <c r="I282" s="62"/>
      <c r="J282" s="62"/>
    </row>
    <row r="283" spans="1:10" ht="30" customHeight="1">
      <c r="A283" s="130">
        <v>8</v>
      </c>
      <c r="B283" s="32" t="s">
        <v>175</v>
      </c>
      <c r="C283" s="131" t="s">
        <v>45</v>
      </c>
      <c r="D283" s="131">
        <f>3+6+5+2+4+2+2</f>
        <v>24</v>
      </c>
      <c r="E283" s="131"/>
      <c r="F283" s="278">
        <f t="shared" si="15"/>
        <v>0</v>
      </c>
      <c r="G283" s="92"/>
      <c r="H283" s="248">
        <f t="shared" si="14"/>
        <v>0</v>
      </c>
      <c r="I283" s="62"/>
      <c r="J283" s="62"/>
    </row>
    <row r="284" spans="1:10" ht="30" customHeight="1">
      <c r="A284" s="130">
        <v>9</v>
      </c>
      <c r="B284" s="32" t="s">
        <v>176</v>
      </c>
      <c r="C284" s="131" t="s">
        <v>10</v>
      </c>
      <c r="D284" s="131">
        <f>6</f>
        <v>6</v>
      </c>
      <c r="E284" s="131"/>
      <c r="F284" s="278">
        <f t="shared" si="15"/>
        <v>0</v>
      </c>
      <c r="G284" s="92"/>
      <c r="H284" s="248">
        <f t="shared" si="14"/>
        <v>0</v>
      </c>
      <c r="I284" s="62"/>
      <c r="J284" s="62"/>
    </row>
    <row r="285" spans="1:10" ht="14.25">
      <c r="A285" s="78"/>
      <c r="B285" s="130" t="s">
        <v>11</v>
      </c>
      <c r="C285" s="132"/>
      <c r="D285" s="133"/>
      <c r="E285" s="131"/>
      <c r="F285" s="279">
        <f>SUM(F276:F284)</f>
        <v>0</v>
      </c>
      <c r="G285" s="134"/>
      <c r="H285" s="279">
        <f>SUM(H276:H284)</f>
        <v>0</v>
      </c>
      <c r="I285" s="63"/>
      <c r="J285" s="63"/>
    </row>
    <row r="286" spans="1:10" ht="14.25">
      <c r="A286" s="129"/>
      <c r="B286" s="129"/>
      <c r="C286" s="129"/>
      <c r="D286" s="129"/>
      <c r="E286" s="129"/>
      <c r="F286" s="129"/>
      <c r="G286" s="129"/>
      <c r="H286" s="129"/>
      <c r="I286" s="23"/>
      <c r="J286" s="23"/>
    </row>
    <row r="287" spans="1:10" ht="14.25">
      <c r="A287" s="129"/>
      <c r="B287" s="129"/>
      <c r="C287" s="129"/>
      <c r="D287" s="129"/>
      <c r="E287" s="129"/>
      <c r="F287" s="129"/>
      <c r="G287" s="129"/>
      <c r="H287" s="129"/>
      <c r="I287" s="23"/>
      <c r="J287" s="23"/>
    </row>
    <row r="288" spans="1:10" ht="14.25">
      <c r="A288" s="129"/>
      <c r="B288" s="129"/>
      <c r="C288" s="129"/>
      <c r="D288" s="129"/>
      <c r="E288" s="129"/>
      <c r="F288" s="129"/>
      <c r="G288" s="129"/>
      <c r="H288" s="129"/>
      <c r="I288" s="334" t="s">
        <v>12</v>
      </c>
      <c r="J288" s="334"/>
    </row>
    <row r="289" spans="1:10" ht="14.25">
      <c r="A289" s="129"/>
      <c r="B289" s="129"/>
      <c r="C289" s="129"/>
      <c r="D289" s="129"/>
      <c r="E289" s="129"/>
      <c r="F289" s="129"/>
      <c r="G289" s="129"/>
      <c r="H289" s="129"/>
      <c r="I289" s="334" t="s">
        <v>13</v>
      </c>
      <c r="J289" s="334"/>
    </row>
    <row r="290" spans="1:10" ht="15">
      <c r="A290" s="26" t="s">
        <v>325</v>
      </c>
      <c r="B290" s="129"/>
      <c r="C290" s="129"/>
      <c r="D290" s="129"/>
      <c r="E290" s="129"/>
      <c r="F290" s="129"/>
      <c r="G290" s="129"/>
      <c r="H290" s="129"/>
      <c r="I290" s="23"/>
      <c r="J290" s="23"/>
    </row>
    <row r="291" spans="1:10" ht="38.25">
      <c r="A291" s="28" t="s">
        <v>0</v>
      </c>
      <c r="B291" s="28" t="s">
        <v>1</v>
      </c>
      <c r="C291" s="28" t="s">
        <v>2</v>
      </c>
      <c r="D291" s="28" t="s">
        <v>3</v>
      </c>
      <c r="E291" s="29" t="s">
        <v>4</v>
      </c>
      <c r="F291" s="29" t="s">
        <v>5</v>
      </c>
      <c r="G291" s="29" t="s">
        <v>6</v>
      </c>
      <c r="H291" s="29" t="s">
        <v>7</v>
      </c>
      <c r="I291" s="30" t="s">
        <v>8</v>
      </c>
      <c r="J291" s="28" t="s">
        <v>14</v>
      </c>
    </row>
    <row r="292" spans="1:10" ht="30" customHeight="1">
      <c r="A292" s="31">
        <v>1</v>
      </c>
      <c r="B292" s="140" t="s">
        <v>177</v>
      </c>
      <c r="C292" s="14" t="s">
        <v>10</v>
      </c>
      <c r="D292" s="33">
        <f>2+1+2+10+4+5+8+2</f>
        <v>34</v>
      </c>
      <c r="E292" s="34"/>
      <c r="F292" s="268">
        <f>D292*E292</f>
        <v>0</v>
      </c>
      <c r="G292" s="35"/>
      <c r="H292" s="248">
        <f>F292+(F292*G292)</f>
        <v>0</v>
      </c>
      <c r="I292" s="37"/>
      <c r="J292" s="38"/>
    </row>
    <row r="293" spans="1:10" ht="30" customHeight="1">
      <c r="A293" s="31">
        <v>2</v>
      </c>
      <c r="B293" s="140" t="s">
        <v>178</v>
      </c>
      <c r="C293" s="14" t="s">
        <v>10</v>
      </c>
      <c r="D293" s="33">
        <f>1+2+10+4+2+5</f>
        <v>24</v>
      </c>
      <c r="E293" s="34"/>
      <c r="F293" s="268">
        <f>D293*E293</f>
        <v>0</v>
      </c>
      <c r="G293" s="35"/>
      <c r="H293" s="248">
        <f>F293+(F293*G293)</f>
        <v>0</v>
      </c>
      <c r="I293" s="37"/>
      <c r="J293" s="38"/>
    </row>
    <row r="294" spans="1:10" ht="14.25" customHeight="1">
      <c r="A294" s="138"/>
      <c r="B294" s="135" t="s">
        <v>11</v>
      </c>
      <c r="C294" s="47"/>
      <c r="D294" s="136"/>
      <c r="E294" s="47"/>
      <c r="F294" s="277">
        <f>SUM(F292:F293)</f>
        <v>0</v>
      </c>
      <c r="G294" s="139"/>
      <c r="H294" s="277">
        <f>SUM(H292:H293)</f>
        <v>0</v>
      </c>
      <c r="I294" s="137"/>
      <c r="J294" s="137"/>
    </row>
    <row r="295" spans="1:10" ht="14.25" customHeight="1">
      <c r="A295" s="249"/>
      <c r="B295" s="250"/>
      <c r="C295" s="143"/>
      <c r="D295" s="143"/>
      <c r="E295" s="144"/>
      <c r="F295" s="144"/>
      <c r="G295" s="145"/>
      <c r="H295" s="146"/>
      <c r="I295" s="147"/>
      <c r="J295" s="147"/>
    </row>
    <row r="296" spans="1:10" ht="14.25" customHeight="1">
      <c r="A296" s="249"/>
      <c r="B296" s="250"/>
      <c r="C296" s="143"/>
      <c r="D296" s="143"/>
      <c r="E296" s="144"/>
      <c r="F296" s="144"/>
      <c r="G296" s="145"/>
      <c r="H296" s="146"/>
      <c r="I296" s="147"/>
      <c r="J296" s="147"/>
    </row>
    <row r="297" spans="1:10" ht="14.25" customHeight="1">
      <c r="A297" s="249"/>
      <c r="B297" s="250"/>
      <c r="C297" s="143"/>
      <c r="D297" s="143"/>
      <c r="E297" s="144"/>
      <c r="F297" s="144"/>
      <c r="G297" s="145"/>
      <c r="H297" s="146"/>
      <c r="I297" s="331" t="s">
        <v>12</v>
      </c>
      <c r="J297" s="331"/>
    </row>
    <row r="298" spans="1:10" ht="14.25" customHeight="1">
      <c r="A298" s="249"/>
      <c r="B298" s="250"/>
      <c r="C298" s="143"/>
      <c r="D298" s="143"/>
      <c r="E298" s="144"/>
      <c r="F298" s="144"/>
      <c r="G298" s="145"/>
      <c r="H298" s="146"/>
      <c r="I298" s="331" t="s">
        <v>13</v>
      </c>
      <c r="J298" s="331"/>
    </row>
    <row r="299" spans="1:10" s="57" customFormat="1" ht="15">
      <c r="A299" s="26" t="s">
        <v>326</v>
      </c>
      <c r="B299" s="55"/>
      <c r="C299" s="98"/>
      <c r="D299" s="53"/>
      <c r="E299" s="53"/>
      <c r="F299" s="53"/>
      <c r="G299" s="53"/>
      <c r="H299" s="53"/>
      <c r="I299" s="53"/>
      <c r="J299" s="55"/>
    </row>
    <row r="300" spans="1:10" s="64" customFormat="1" ht="42" customHeight="1">
      <c r="A300" s="28" t="s">
        <v>0</v>
      </c>
      <c r="B300" s="28" t="s">
        <v>1</v>
      </c>
      <c r="C300" s="28" t="s">
        <v>2</v>
      </c>
      <c r="D300" s="28" t="s">
        <v>3</v>
      </c>
      <c r="E300" s="28" t="s">
        <v>4</v>
      </c>
      <c r="F300" s="28" t="s">
        <v>5</v>
      </c>
      <c r="G300" s="28" t="s">
        <v>6</v>
      </c>
      <c r="H300" s="28" t="s">
        <v>7</v>
      </c>
      <c r="I300" s="30" t="s">
        <v>8</v>
      </c>
      <c r="J300" s="28" t="s">
        <v>14</v>
      </c>
    </row>
    <row r="301" spans="1:10" ht="48" customHeight="1">
      <c r="A301" s="31">
        <v>1</v>
      </c>
      <c r="B301" s="10" t="s">
        <v>179</v>
      </c>
      <c r="C301" s="14" t="s">
        <v>10</v>
      </c>
      <c r="D301" s="14">
        <f>150+200+100</f>
        <v>450</v>
      </c>
      <c r="E301" s="319"/>
      <c r="F301" s="270">
        <f>D301*E301</f>
        <v>0</v>
      </c>
      <c r="G301" s="95"/>
      <c r="H301" s="248">
        <f>F301+(F301*G301)</f>
        <v>0</v>
      </c>
      <c r="I301" s="38"/>
      <c r="J301" s="38"/>
    </row>
    <row r="302" spans="1:10" ht="57" customHeight="1">
      <c r="A302" s="31">
        <v>2</v>
      </c>
      <c r="B302" s="149" t="s">
        <v>180</v>
      </c>
      <c r="C302" s="150" t="s">
        <v>45</v>
      </c>
      <c r="D302" s="151">
        <v>300</v>
      </c>
      <c r="E302" s="319"/>
      <c r="F302" s="270">
        <f>D302*E302</f>
        <v>0</v>
      </c>
      <c r="G302" s="153"/>
      <c r="H302" s="248">
        <f>F302+(F302*G302)</f>
        <v>0</v>
      </c>
      <c r="I302" s="150"/>
      <c r="J302" s="154"/>
    </row>
    <row r="303" spans="1:10" ht="60.75" customHeight="1">
      <c r="A303" s="31">
        <v>3</v>
      </c>
      <c r="B303" s="149" t="s">
        <v>181</v>
      </c>
      <c r="C303" s="150" t="s">
        <v>45</v>
      </c>
      <c r="D303" s="151">
        <v>300</v>
      </c>
      <c r="E303" s="319"/>
      <c r="F303" s="270">
        <f>D303*E303</f>
        <v>0</v>
      </c>
      <c r="G303" s="153"/>
      <c r="H303" s="248">
        <f>F303+(F303*G303)</f>
        <v>0</v>
      </c>
      <c r="I303" s="150"/>
      <c r="J303" s="154"/>
    </row>
    <row r="304" spans="1:10" ht="14.25">
      <c r="A304" s="31"/>
      <c r="B304" s="9" t="s">
        <v>11</v>
      </c>
      <c r="C304" s="24"/>
      <c r="D304" s="24"/>
      <c r="E304" s="24"/>
      <c r="F304" s="271">
        <f>SUM(F301:F303)</f>
        <v>0</v>
      </c>
      <c r="G304" s="24"/>
      <c r="H304" s="271">
        <f>SUM(H301:H303)</f>
        <v>0</v>
      </c>
      <c r="I304" s="24"/>
      <c r="J304" s="24"/>
    </row>
    <row r="305" spans="1:10" ht="14.25">
      <c r="A305" s="4"/>
      <c r="B305" s="4"/>
      <c r="C305" s="4"/>
      <c r="D305" s="4"/>
      <c r="E305" s="4"/>
      <c r="F305" s="5"/>
      <c r="G305" s="4"/>
      <c r="H305" s="4"/>
      <c r="I305" s="4"/>
      <c r="J305" s="4"/>
    </row>
    <row r="306" spans="1:10" ht="14.25">
      <c r="A306" s="4"/>
      <c r="B306" s="4"/>
      <c r="C306" s="4"/>
      <c r="D306" s="4"/>
      <c r="E306" s="4"/>
      <c r="F306" s="5"/>
      <c r="G306" s="4"/>
      <c r="H306" s="4"/>
      <c r="I306" s="4"/>
      <c r="J306" s="4"/>
    </row>
    <row r="307" spans="1:10" ht="14.25">
      <c r="A307" s="4"/>
      <c r="B307" s="4"/>
      <c r="C307" s="4"/>
      <c r="D307" s="4"/>
      <c r="E307" s="4"/>
      <c r="F307" s="5"/>
      <c r="G307" s="4"/>
      <c r="H307" s="4"/>
      <c r="I307" s="4"/>
      <c r="J307" s="54"/>
    </row>
    <row r="308" spans="1:10" ht="14.25">
      <c r="A308" s="4"/>
      <c r="B308" s="4"/>
      <c r="C308" s="4"/>
      <c r="D308" s="4"/>
      <c r="E308" s="4"/>
      <c r="F308" s="5"/>
      <c r="G308" s="4"/>
      <c r="H308" s="4"/>
      <c r="I308" s="334" t="s">
        <v>12</v>
      </c>
      <c r="J308" s="334"/>
    </row>
    <row r="309" spans="1:10" ht="14.25">
      <c r="A309" s="4"/>
      <c r="B309" s="4"/>
      <c r="C309" s="4"/>
      <c r="D309" s="4"/>
      <c r="E309" s="4"/>
      <c r="F309" s="5"/>
      <c r="G309" s="4"/>
      <c r="H309" s="4"/>
      <c r="I309" s="334" t="s">
        <v>13</v>
      </c>
      <c r="J309" s="334"/>
    </row>
    <row r="310" spans="1:10" ht="15">
      <c r="A310" s="66" t="s">
        <v>327</v>
      </c>
      <c r="B310" s="88"/>
      <c r="C310" s="155"/>
      <c r="D310" s="156"/>
      <c r="E310" s="156"/>
      <c r="F310" s="156"/>
      <c r="G310" s="156"/>
      <c r="H310" s="156"/>
      <c r="I310" s="156"/>
      <c r="J310" s="88"/>
    </row>
    <row r="311" spans="1:10" ht="38.25">
      <c r="A311" s="44" t="s">
        <v>0</v>
      </c>
      <c r="B311" s="44" t="s">
        <v>1</v>
      </c>
      <c r="C311" s="44" t="s">
        <v>2</v>
      </c>
      <c r="D311" s="44" t="s">
        <v>3</v>
      </c>
      <c r="E311" s="44" t="s">
        <v>4</v>
      </c>
      <c r="F311" s="44" t="s">
        <v>5</v>
      </c>
      <c r="G311" s="44" t="s">
        <v>6</v>
      </c>
      <c r="H311" s="44" t="s">
        <v>7</v>
      </c>
      <c r="I311" s="45" t="s">
        <v>8</v>
      </c>
      <c r="J311" s="44" t="s">
        <v>14</v>
      </c>
    </row>
    <row r="312" spans="1:10" ht="25.5">
      <c r="A312" s="71">
        <v>1</v>
      </c>
      <c r="B312" s="72" t="s">
        <v>182</v>
      </c>
      <c r="C312" s="48" t="s">
        <v>10</v>
      </c>
      <c r="D312" s="48">
        <v>2</v>
      </c>
      <c r="E312" s="326"/>
      <c r="F312" s="247">
        <f>D312*E312</f>
        <v>0</v>
      </c>
      <c r="G312" s="148"/>
      <c r="H312" s="248">
        <f>F312+(F312*G312)</f>
        <v>0</v>
      </c>
      <c r="I312" s="48"/>
      <c r="J312" s="48"/>
    </row>
    <row r="313" spans="1:10" ht="25.5">
      <c r="A313" s="71">
        <v>2</v>
      </c>
      <c r="B313" s="72" t="s">
        <v>183</v>
      </c>
      <c r="C313" s="48" t="s">
        <v>10</v>
      </c>
      <c r="D313" s="48">
        <v>4</v>
      </c>
      <c r="E313" s="326"/>
      <c r="F313" s="247">
        <f>D313*E313</f>
        <v>0</v>
      </c>
      <c r="G313" s="148"/>
      <c r="H313" s="248">
        <f>F313+(F313*G313)</f>
        <v>0</v>
      </c>
      <c r="I313" s="48"/>
      <c r="J313" s="48"/>
    </row>
    <row r="314" spans="1:10" ht="25.5">
      <c r="A314" s="71">
        <v>3</v>
      </c>
      <c r="B314" s="72" t="s">
        <v>184</v>
      </c>
      <c r="C314" s="48" t="s">
        <v>10</v>
      </c>
      <c r="D314" s="48">
        <v>1</v>
      </c>
      <c r="E314" s="326"/>
      <c r="F314" s="247">
        <f>D314*E314</f>
        <v>0</v>
      </c>
      <c r="G314" s="148"/>
      <c r="H314" s="248">
        <f>F314+(F314*G314)</f>
        <v>0</v>
      </c>
      <c r="I314" s="48"/>
      <c r="J314" s="48"/>
    </row>
    <row r="315" spans="1:10" ht="14.25">
      <c r="A315" s="71"/>
      <c r="B315" s="46" t="s">
        <v>11</v>
      </c>
      <c r="C315" s="49"/>
      <c r="D315" s="49"/>
      <c r="E315" s="49"/>
      <c r="F315" s="240">
        <f>SUM(F312:F314)</f>
        <v>0</v>
      </c>
      <c r="G315" s="50"/>
      <c r="H315" s="239">
        <f>SUM(H312:H314)</f>
        <v>0</v>
      </c>
      <c r="I315" s="49"/>
      <c r="J315" s="49"/>
    </row>
    <row r="316" spans="1:10" ht="15">
      <c r="A316" s="51"/>
      <c r="B316" s="51"/>
      <c r="C316" s="51"/>
      <c r="D316" s="51"/>
      <c r="E316" s="51"/>
      <c r="F316" s="51"/>
      <c r="G316" s="51"/>
      <c r="H316" s="51"/>
      <c r="I316" s="51"/>
      <c r="J316" s="51"/>
    </row>
    <row r="317" spans="1:10" ht="15">
      <c r="A317" s="51"/>
      <c r="B317" s="51"/>
      <c r="C317" s="51"/>
      <c r="D317" s="51"/>
      <c r="E317" s="51"/>
      <c r="F317" s="51"/>
      <c r="G317" s="51"/>
      <c r="H317" s="51"/>
      <c r="I317" s="51"/>
      <c r="J317" s="51"/>
    </row>
    <row r="318" spans="1:10" ht="15">
      <c r="A318" s="67"/>
      <c r="B318" s="67"/>
      <c r="C318" s="67"/>
      <c r="D318" s="67"/>
      <c r="E318" s="67"/>
      <c r="F318" s="67"/>
      <c r="G318" s="67"/>
      <c r="H318" s="67"/>
      <c r="I318" s="331" t="s">
        <v>12</v>
      </c>
      <c r="J318" s="331"/>
    </row>
    <row r="319" spans="1:10" ht="15">
      <c r="A319" s="67"/>
      <c r="B319" s="67"/>
      <c r="C319" s="67"/>
      <c r="D319" s="67"/>
      <c r="E319" s="67"/>
      <c r="F319" s="67"/>
      <c r="G319" s="67"/>
      <c r="H319" s="67"/>
      <c r="I319" s="331" t="s">
        <v>13</v>
      </c>
      <c r="J319" s="331"/>
    </row>
    <row r="320" spans="1:10" ht="15">
      <c r="A320" s="66" t="s">
        <v>328</v>
      </c>
      <c r="B320" s="88"/>
      <c r="C320" s="155"/>
      <c r="D320" s="156"/>
      <c r="E320" s="156"/>
      <c r="F320" s="156"/>
      <c r="G320" s="156"/>
      <c r="H320" s="156"/>
      <c r="I320" s="156"/>
      <c r="J320" s="88"/>
    </row>
    <row r="321" spans="1:10" ht="38.25">
      <c r="A321" s="44" t="s">
        <v>0</v>
      </c>
      <c r="B321" s="44" t="s">
        <v>1</v>
      </c>
      <c r="C321" s="44" t="s">
        <v>2</v>
      </c>
      <c r="D321" s="44" t="s">
        <v>3</v>
      </c>
      <c r="E321" s="44" t="s">
        <v>4</v>
      </c>
      <c r="F321" s="44" t="s">
        <v>5</v>
      </c>
      <c r="G321" s="44" t="s">
        <v>6</v>
      </c>
      <c r="H321" s="44" t="s">
        <v>7</v>
      </c>
      <c r="I321" s="45" t="s">
        <v>8</v>
      </c>
      <c r="J321" s="44" t="s">
        <v>14</v>
      </c>
    </row>
    <row r="322" spans="1:10" ht="51">
      <c r="A322" s="71">
        <v>1</v>
      </c>
      <c r="B322" s="72" t="s">
        <v>185</v>
      </c>
      <c r="C322" s="48" t="s">
        <v>45</v>
      </c>
      <c r="D322" s="48">
        <v>2</v>
      </c>
      <c r="E322" s="326"/>
      <c r="F322" s="247">
        <f>D322*E322</f>
        <v>0</v>
      </c>
      <c r="G322" s="148"/>
      <c r="H322" s="248">
        <f>F322+(F322*G322)</f>
        <v>0</v>
      </c>
      <c r="I322" s="48"/>
      <c r="J322" s="48"/>
    </row>
    <row r="323" spans="1:10" ht="51">
      <c r="A323" s="71">
        <v>2</v>
      </c>
      <c r="B323" s="72" t="s">
        <v>186</v>
      </c>
      <c r="C323" s="48" t="s">
        <v>45</v>
      </c>
      <c r="D323" s="48">
        <v>2</v>
      </c>
      <c r="E323" s="326"/>
      <c r="F323" s="247">
        <f>D323*E323</f>
        <v>0</v>
      </c>
      <c r="G323" s="148"/>
      <c r="H323" s="248">
        <f>F323+(F323*G323)</f>
        <v>0</v>
      </c>
      <c r="I323" s="48"/>
      <c r="J323" s="48"/>
    </row>
    <row r="324" spans="1:10" ht="14.25">
      <c r="A324" s="71"/>
      <c r="B324" s="46" t="s">
        <v>11</v>
      </c>
      <c r="C324" s="49"/>
      <c r="D324" s="49"/>
      <c r="E324" s="49"/>
      <c r="F324" s="240">
        <f>SUM(F322:F323)</f>
        <v>0</v>
      </c>
      <c r="G324" s="50"/>
      <c r="H324" s="239">
        <f>SUM(H322:H323)</f>
        <v>0</v>
      </c>
      <c r="I324" s="49"/>
      <c r="J324" s="49"/>
    </row>
    <row r="325" spans="1:10" ht="15">
      <c r="A325" s="67"/>
      <c r="B325" s="67"/>
      <c r="C325" s="67"/>
      <c r="D325" s="67"/>
      <c r="E325" s="67"/>
      <c r="F325" s="67"/>
      <c r="G325" s="67"/>
      <c r="H325" s="67"/>
      <c r="I325" s="52"/>
      <c r="J325" s="52"/>
    </row>
    <row r="326" spans="1:10" ht="15">
      <c r="A326" s="67"/>
      <c r="B326" s="67"/>
      <c r="C326" s="67"/>
      <c r="D326" s="67"/>
      <c r="E326" s="67"/>
      <c r="F326" s="67"/>
      <c r="G326" s="67"/>
      <c r="H326" s="67"/>
      <c r="I326" s="52"/>
      <c r="J326" s="52"/>
    </row>
    <row r="327" spans="1:10" ht="15">
      <c r="A327" s="67"/>
      <c r="B327" s="67"/>
      <c r="C327" s="67"/>
      <c r="D327" s="67"/>
      <c r="E327" s="67"/>
      <c r="F327" s="67"/>
      <c r="G327" s="67"/>
      <c r="H327" s="67"/>
      <c r="I327" s="331" t="s">
        <v>12</v>
      </c>
      <c r="J327" s="331"/>
    </row>
    <row r="328" spans="1:10" ht="15">
      <c r="A328" s="67"/>
      <c r="B328" s="67"/>
      <c r="C328" s="67"/>
      <c r="D328" s="67"/>
      <c r="E328" s="67"/>
      <c r="F328" s="67"/>
      <c r="G328" s="67"/>
      <c r="H328" s="67"/>
      <c r="I328" s="331" t="s">
        <v>13</v>
      </c>
      <c r="J328" s="331"/>
    </row>
    <row r="329" spans="1:10" s="57" customFormat="1" ht="15">
      <c r="A329" s="26" t="s">
        <v>329</v>
      </c>
      <c r="B329" s="55"/>
      <c r="C329" s="98"/>
      <c r="D329" s="53"/>
      <c r="E329" s="53"/>
      <c r="F329" s="53"/>
      <c r="G329" s="53"/>
      <c r="H329" s="53"/>
      <c r="I329" s="53"/>
      <c r="J329" s="56"/>
    </row>
    <row r="330" spans="1:10" s="64" customFormat="1" ht="39.75" customHeight="1">
      <c r="A330" s="28" t="s">
        <v>0</v>
      </c>
      <c r="B330" s="28" t="s">
        <v>1</v>
      </c>
      <c r="C330" s="28" t="s">
        <v>2</v>
      </c>
      <c r="D330" s="28" t="s">
        <v>3</v>
      </c>
      <c r="E330" s="28" t="s">
        <v>4</v>
      </c>
      <c r="F330" s="28" t="s">
        <v>5</v>
      </c>
      <c r="G330" s="28" t="s">
        <v>6</v>
      </c>
      <c r="H330" s="28" t="s">
        <v>7</v>
      </c>
      <c r="I330" s="30" t="s">
        <v>8</v>
      </c>
      <c r="J330" s="28" t="s">
        <v>14</v>
      </c>
    </row>
    <row r="331" spans="1:10" ht="14.25">
      <c r="A331" s="31">
        <v>1</v>
      </c>
      <c r="B331" s="10" t="s">
        <v>188</v>
      </c>
      <c r="C331" s="14" t="s">
        <v>10</v>
      </c>
      <c r="D331" s="11">
        <f>5+2</f>
        <v>7</v>
      </c>
      <c r="E331" s="318"/>
      <c r="F331" s="265">
        <f>D331*E331</f>
        <v>0</v>
      </c>
      <c r="G331" s="13"/>
      <c r="H331" s="248">
        <f>F331+(F331*G331)</f>
        <v>0</v>
      </c>
      <c r="I331" s="11"/>
      <c r="J331" s="14"/>
    </row>
    <row r="332" spans="1:10" ht="14.25">
      <c r="A332" s="31"/>
      <c r="B332" s="9" t="s">
        <v>11</v>
      </c>
      <c r="C332" s="9"/>
      <c r="D332" s="9"/>
      <c r="E332" s="9"/>
      <c r="F332" s="271">
        <f>SUM(F331)</f>
        <v>0</v>
      </c>
      <c r="G332" s="9"/>
      <c r="H332" s="271">
        <f>SUM(H331)</f>
        <v>0</v>
      </c>
      <c r="I332" s="9"/>
      <c r="J332" s="9"/>
    </row>
    <row r="333" spans="1:10" ht="14.25">
      <c r="A333" s="4"/>
      <c r="B333" s="4"/>
      <c r="C333" s="4"/>
      <c r="D333" s="4"/>
      <c r="E333" s="4"/>
      <c r="F333" s="5"/>
      <c r="G333" s="4"/>
      <c r="H333" s="4"/>
      <c r="I333" s="4"/>
      <c r="J333" s="6"/>
    </row>
    <row r="334" spans="1:10" ht="14.25">
      <c r="A334" s="4"/>
      <c r="B334" s="4"/>
      <c r="C334" s="4"/>
      <c r="D334" s="4"/>
      <c r="E334" s="4"/>
      <c r="F334" s="5"/>
      <c r="G334" s="4"/>
      <c r="H334" s="4"/>
      <c r="I334" s="4"/>
      <c r="J334" s="6"/>
    </row>
    <row r="335" spans="1:10" ht="14.25">
      <c r="A335" s="4"/>
      <c r="B335" s="4"/>
      <c r="C335" s="4"/>
      <c r="D335" s="4"/>
      <c r="E335" s="4"/>
      <c r="F335" s="5"/>
      <c r="G335" s="4"/>
      <c r="H335" s="4"/>
      <c r="I335" s="334" t="s">
        <v>12</v>
      </c>
      <c r="J335" s="334"/>
    </row>
    <row r="336" spans="1:10" ht="14.25">
      <c r="A336" s="4"/>
      <c r="B336" s="4"/>
      <c r="C336" s="4"/>
      <c r="D336" s="4"/>
      <c r="E336" s="4"/>
      <c r="F336" s="5"/>
      <c r="G336" s="4"/>
      <c r="H336" s="4"/>
      <c r="I336" s="334" t="s">
        <v>13</v>
      </c>
      <c r="J336" s="334"/>
    </row>
    <row r="337" spans="1:10" ht="15">
      <c r="A337" s="26" t="s">
        <v>330</v>
      </c>
      <c r="B337" s="55"/>
      <c r="C337" s="98"/>
      <c r="D337" s="53"/>
      <c r="E337" s="53"/>
      <c r="F337" s="53"/>
      <c r="G337" s="53"/>
      <c r="H337" s="53"/>
      <c r="I337" s="53"/>
      <c r="J337" s="55"/>
    </row>
    <row r="338" spans="1:10" ht="38.25">
      <c r="A338" s="28" t="s">
        <v>0</v>
      </c>
      <c r="B338" s="28" t="s">
        <v>1</v>
      </c>
      <c r="C338" s="28" t="s">
        <v>2</v>
      </c>
      <c r="D338" s="28" t="s">
        <v>3</v>
      </c>
      <c r="E338" s="28" t="s">
        <v>4</v>
      </c>
      <c r="F338" s="28" t="s">
        <v>5</v>
      </c>
      <c r="G338" s="28" t="s">
        <v>6</v>
      </c>
      <c r="H338" s="28" t="s">
        <v>7</v>
      </c>
      <c r="I338" s="30" t="s">
        <v>8</v>
      </c>
      <c r="J338" s="28" t="s">
        <v>14</v>
      </c>
    </row>
    <row r="339" spans="1:10" ht="73.5" customHeight="1">
      <c r="A339" s="31">
        <v>1</v>
      </c>
      <c r="B339" s="10" t="s">
        <v>189</v>
      </c>
      <c r="C339" s="14" t="s">
        <v>10</v>
      </c>
      <c r="D339" s="14">
        <v>10</v>
      </c>
      <c r="E339" s="318"/>
      <c r="F339" s="272">
        <f>D339*E339</f>
        <v>0</v>
      </c>
      <c r="G339" s="89"/>
      <c r="H339" s="248">
        <f>F339+(F339*G339)</f>
        <v>0</v>
      </c>
      <c r="I339" s="14"/>
      <c r="J339" s="14"/>
    </row>
    <row r="340" spans="1:10" ht="60" customHeight="1">
      <c r="A340" s="31">
        <v>2</v>
      </c>
      <c r="B340" s="10" t="s">
        <v>190</v>
      </c>
      <c r="C340" s="14" t="s">
        <v>10</v>
      </c>
      <c r="D340" s="14">
        <v>10</v>
      </c>
      <c r="E340" s="318"/>
      <c r="F340" s="272">
        <f>D340*E340</f>
        <v>0</v>
      </c>
      <c r="G340" s="89"/>
      <c r="H340" s="248">
        <f>F340+(F340*G340)</f>
        <v>0</v>
      </c>
      <c r="I340" s="14"/>
      <c r="J340" s="14"/>
    </row>
    <row r="341" spans="1:10" ht="74.25" customHeight="1">
      <c r="A341" s="31">
        <v>3</v>
      </c>
      <c r="B341" s="10" t="s">
        <v>191</v>
      </c>
      <c r="C341" s="14" t="s">
        <v>10</v>
      </c>
      <c r="D341" s="14">
        <v>5</v>
      </c>
      <c r="E341" s="318"/>
      <c r="F341" s="272">
        <f>D341*E341</f>
        <v>0</v>
      </c>
      <c r="G341" s="89"/>
      <c r="H341" s="248">
        <f>F341+(F341*G341)</f>
        <v>0</v>
      </c>
      <c r="I341" s="14"/>
      <c r="J341" s="14"/>
    </row>
    <row r="342" spans="1:10" ht="70.5" customHeight="1">
      <c r="A342" s="31">
        <v>4</v>
      </c>
      <c r="B342" s="10" t="s">
        <v>192</v>
      </c>
      <c r="C342" s="14" t="s">
        <v>10</v>
      </c>
      <c r="D342" s="14">
        <v>10</v>
      </c>
      <c r="E342" s="318"/>
      <c r="F342" s="272">
        <f>D342*E342</f>
        <v>0</v>
      </c>
      <c r="G342" s="89"/>
      <c r="H342" s="248">
        <f>F342+(F342*G342)</f>
        <v>0</v>
      </c>
      <c r="I342" s="14"/>
      <c r="J342" s="14"/>
    </row>
    <row r="343" spans="1:10" ht="14.25">
      <c r="A343" s="31"/>
      <c r="B343" s="9" t="s">
        <v>11</v>
      </c>
      <c r="C343" s="9"/>
      <c r="D343" s="9"/>
      <c r="E343" s="9"/>
      <c r="F343" s="271">
        <f>SUM(F339:F342)</f>
        <v>0</v>
      </c>
      <c r="G343" s="94"/>
      <c r="H343" s="271">
        <f>SUM(H339:H342)</f>
        <v>0</v>
      </c>
      <c r="I343" s="9"/>
      <c r="J343" s="9"/>
    </row>
    <row r="344" spans="1:10" ht="14.25">
      <c r="A344" s="19"/>
      <c r="B344" s="20"/>
      <c r="C344" s="20"/>
      <c r="D344" s="20"/>
      <c r="E344" s="20"/>
      <c r="F344" s="22"/>
      <c r="G344" s="158"/>
      <c r="H344" s="20"/>
      <c r="I344" s="20"/>
      <c r="J344" s="20"/>
    </row>
    <row r="345" spans="1:10" ht="14.25">
      <c r="A345" s="19"/>
      <c r="B345" s="20"/>
      <c r="C345" s="20"/>
      <c r="D345" s="20"/>
      <c r="E345" s="20"/>
      <c r="F345" s="22"/>
      <c r="G345" s="158"/>
      <c r="H345" s="20"/>
      <c r="I345" s="20"/>
      <c r="J345" s="20"/>
    </row>
    <row r="346" spans="1:10" ht="14.25">
      <c r="A346" s="19"/>
      <c r="B346" s="20"/>
      <c r="C346" s="20"/>
      <c r="D346" s="20"/>
      <c r="E346" s="20"/>
      <c r="F346" s="22"/>
      <c r="G346" s="158"/>
      <c r="H346" s="20"/>
      <c r="I346" s="334" t="s">
        <v>12</v>
      </c>
      <c r="J346" s="334"/>
    </row>
    <row r="347" spans="1:10" ht="14.25">
      <c r="A347" s="19"/>
      <c r="B347" s="20"/>
      <c r="C347" s="20"/>
      <c r="D347" s="20"/>
      <c r="E347" s="20"/>
      <c r="F347" s="22"/>
      <c r="G347" s="158"/>
      <c r="H347" s="20"/>
      <c r="I347" s="334" t="s">
        <v>13</v>
      </c>
      <c r="J347" s="334"/>
    </row>
    <row r="348" spans="1:10" ht="15">
      <c r="A348" s="26" t="s">
        <v>331</v>
      </c>
      <c r="B348" s="4"/>
      <c r="C348" s="82"/>
      <c r="D348" s="5"/>
      <c r="E348" s="5"/>
      <c r="F348" s="5"/>
      <c r="G348" s="5"/>
      <c r="H348" s="5"/>
      <c r="I348" s="5"/>
      <c r="J348" s="58"/>
    </row>
    <row r="349" spans="1:10" s="64" customFormat="1" ht="41.25" customHeight="1">
      <c r="A349" s="28" t="s">
        <v>0</v>
      </c>
      <c r="B349" s="28" t="s">
        <v>1</v>
      </c>
      <c r="C349" s="28" t="s">
        <v>2</v>
      </c>
      <c r="D349" s="28" t="s">
        <v>3</v>
      </c>
      <c r="E349" s="29" t="s">
        <v>4</v>
      </c>
      <c r="F349" s="29" t="s">
        <v>5</v>
      </c>
      <c r="G349" s="29" t="s">
        <v>6</v>
      </c>
      <c r="H349" s="29" t="s">
        <v>7</v>
      </c>
      <c r="I349" s="30" t="s">
        <v>8</v>
      </c>
      <c r="J349" s="28" t="s">
        <v>14</v>
      </c>
    </row>
    <row r="350" spans="1:10" s="159" customFormat="1" ht="52.5" customHeight="1">
      <c r="A350" s="31">
        <v>1</v>
      </c>
      <c r="B350" s="99" t="s">
        <v>193</v>
      </c>
      <c r="C350" s="38" t="s">
        <v>10</v>
      </c>
      <c r="D350" s="157">
        <f>4</f>
        <v>4</v>
      </c>
      <c r="E350" s="36"/>
      <c r="F350" s="268">
        <f>D350*E350</f>
        <v>0</v>
      </c>
      <c r="G350" s="35"/>
      <c r="H350" s="248">
        <f>F350+(F350*G350)</f>
        <v>0</v>
      </c>
      <c r="I350" s="37"/>
      <c r="J350" s="38"/>
    </row>
    <row r="351" spans="1:10" ht="14.25">
      <c r="A351" s="31"/>
      <c r="B351" s="9" t="s">
        <v>11</v>
      </c>
      <c r="C351" s="9"/>
      <c r="D351" s="160"/>
      <c r="E351" s="16"/>
      <c r="F351" s="274">
        <f>SUM(F350)</f>
        <v>0</v>
      </c>
      <c r="G351" s="161"/>
      <c r="H351" s="274">
        <f>SUM(H350)</f>
        <v>0</v>
      </c>
      <c r="I351" s="128"/>
      <c r="J351" s="9"/>
    </row>
    <row r="352" spans="1:10" ht="14.25">
      <c r="A352" s="27"/>
      <c r="B352" s="4"/>
      <c r="C352" s="82"/>
      <c r="D352" s="5"/>
      <c r="E352" s="5"/>
      <c r="F352" s="5"/>
      <c r="G352" s="5"/>
      <c r="H352" s="5"/>
      <c r="I352" s="5"/>
      <c r="J352" s="58"/>
    </row>
    <row r="353" spans="1:10" ht="14.25">
      <c r="A353" s="4"/>
      <c r="B353" s="4"/>
      <c r="C353" s="4"/>
      <c r="D353" s="4"/>
      <c r="E353" s="4"/>
      <c r="F353" s="5"/>
      <c r="G353" s="4"/>
      <c r="H353" s="4"/>
      <c r="I353" s="4"/>
      <c r="J353" s="6"/>
    </row>
    <row r="354" spans="1:10" ht="14.25">
      <c r="A354" s="4"/>
      <c r="B354" s="4"/>
      <c r="C354" s="4"/>
      <c r="D354" s="4"/>
      <c r="E354" s="4"/>
      <c r="F354" s="5"/>
      <c r="G354" s="4"/>
      <c r="H354" s="4"/>
      <c r="I354" s="4"/>
      <c r="J354" s="6"/>
    </row>
    <row r="355" spans="1:10" ht="14.25">
      <c r="A355" s="4"/>
      <c r="B355" s="4"/>
      <c r="C355" s="4"/>
      <c r="D355" s="4"/>
      <c r="E355" s="4"/>
      <c r="F355" s="5"/>
      <c r="G355" s="4"/>
      <c r="H355" s="4"/>
      <c r="I355" s="4"/>
      <c r="J355" s="54"/>
    </row>
    <row r="356" spans="1:10" ht="14.25">
      <c r="A356" s="4"/>
      <c r="B356" s="4"/>
      <c r="C356" s="4"/>
      <c r="D356" s="4"/>
      <c r="E356" s="4"/>
      <c r="F356" s="5"/>
      <c r="G356" s="4"/>
      <c r="H356" s="4"/>
      <c r="I356" s="334" t="s">
        <v>12</v>
      </c>
      <c r="J356" s="334"/>
    </row>
    <row r="357" spans="1:10" ht="14.25">
      <c r="A357" s="4"/>
      <c r="B357" s="4"/>
      <c r="C357" s="4"/>
      <c r="D357" s="4"/>
      <c r="E357" s="4"/>
      <c r="F357" s="5"/>
      <c r="G357" s="4"/>
      <c r="H357" s="4"/>
      <c r="I357" s="334" t="s">
        <v>13</v>
      </c>
      <c r="J357" s="334"/>
    </row>
    <row r="358" spans="1:10" ht="15">
      <c r="A358" s="26" t="s">
        <v>332</v>
      </c>
      <c r="B358" s="4"/>
      <c r="C358" s="82"/>
      <c r="D358" s="5"/>
      <c r="E358" s="5"/>
      <c r="F358" s="5"/>
      <c r="G358" s="5"/>
      <c r="H358" s="5"/>
      <c r="I358" s="5"/>
      <c r="J358" s="58"/>
    </row>
    <row r="359" spans="1:10" s="64" customFormat="1" ht="39.75" customHeight="1">
      <c r="A359" s="28" t="s">
        <v>0</v>
      </c>
      <c r="B359" s="28" t="s">
        <v>1</v>
      </c>
      <c r="C359" s="28" t="s">
        <v>2</v>
      </c>
      <c r="D359" s="28" t="s">
        <v>3</v>
      </c>
      <c r="E359" s="29" t="s">
        <v>4</v>
      </c>
      <c r="F359" s="29" t="s">
        <v>5</v>
      </c>
      <c r="G359" s="29" t="s">
        <v>6</v>
      </c>
      <c r="H359" s="29" t="s">
        <v>7</v>
      </c>
      <c r="I359" s="30" t="s">
        <v>8</v>
      </c>
      <c r="J359" s="28" t="s">
        <v>14</v>
      </c>
    </row>
    <row r="360" spans="1:10" ht="45.75" customHeight="1">
      <c r="A360" s="31" t="s">
        <v>187</v>
      </c>
      <c r="B360" s="10" t="s">
        <v>194</v>
      </c>
      <c r="C360" s="14" t="s">
        <v>10</v>
      </c>
      <c r="D360" s="33">
        <v>1</v>
      </c>
      <c r="E360" s="34"/>
      <c r="F360" s="268">
        <f>D360*E360</f>
        <v>0</v>
      </c>
      <c r="G360" s="35"/>
      <c r="H360" s="248">
        <f>F360+(F360*G360)</f>
        <v>0</v>
      </c>
      <c r="I360" s="37"/>
      <c r="J360" s="38"/>
    </row>
    <row r="361" spans="1:10" ht="14.25">
      <c r="A361" s="31"/>
      <c r="B361" s="9" t="s">
        <v>11</v>
      </c>
      <c r="C361" s="24"/>
      <c r="D361" s="39"/>
      <c r="E361" s="17"/>
      <c r="F361" s="274">
        <f>SUM(F360)</f>
        <v>0</v>
      </c>
      <c r="G361" s="40"/>
      <c r="H361" s="274">
        <f>SUM(H360)</f>
        <v>0</v>
      </c>
      <c r="I361" s="41"/>
      <c r="J361" s="24"/>
    </row>
    <row r="362" spans="1:10" ht="14.25">
      <c r="A362" s="4"/>
      <c r="B362" s="4"/>
      <c r="C362" s="4"/>
      <c r="D362" s="4"/>
      <c r="E362" s="4"/>
      <c r="F362" s="5"/>
      <c r="G362" s="4"/>
      <c r="H362" s="4"/>
      <c r="I362" s="4"/>
      <c r="J362" s="4"/>
    </row>
    <row r="363" spans="1:10" ht="14.25">
      <c r="A363" s="4"/>
      <c r="B363" s="4"/>
      <c r="C363" s="4"/>
      <c r="D363" s="4"/>
      <c r="E363" s="4"/>
      <c r="F363" s="5"/>
      <c r="G363" s="4"/>
      <c r="H363" s="4"/>
      <c r="I363" s="4"/>
      <c r="J363" s="6"/>
    </row>
    <row r="364" spans="1:10" ht="14.25">
      <c r="A364" s="4"/>
      <c r="B364" s="4"/>
      <c r="C364" s="4"/>
      <c r="D364" s="4"/>
      <c r="E364" s="4"/>
      <c r="F364" s="5"/>
      <c r="G364" s="4"/>
      <c r="H364" s="4"/>
      <c r="I364" s="4"/>
      <c r="J364" s="6"/>
    </row>
    <row r="365" spans="1:10" ht="14.25">
      <c r="A365" s="4"/>
      <c r="B365" s="4"/>
      <c r="C365" s="4"/>
      <c r="D365" s="4"/>
      <c r="E365" s="4"/>
      <c r="F365" s="5"/>
      <c r="G365" s="4"/>
      <c r="H365" s="4"/>
      <c r="I365" s="4"/>
      <c r="J365" s="6"/>
    </row>
    <row r="366" spans="1:10" ht="14.25">
      <c r="A366" s="4"/>
      <c r="B366" s="4"/>
      <c r="C366" s="4"/>
      <c r="D366" s="4"/>
      <c r="E366" s="4"/>
      <c r="F366" s="5"/>
      <c r="G366" s="4"/>
      <c r="H366" s="4"/>
      <c r="I366" s="334" t="s">
        <v>12</v>
      </c>
      <c r="J366" s="334"/>
    </row>
    <row r="367" spans="1:10" ht="14.25">
      <c r="A367" s="4"/>
      <c r="B367" s="4"/>
      <c r="C367" s="4"/>
      <c r="D367" s="4"/>
      <c r="E367" s="4"/>
      <c r="F367" s="5"/>
      <c r="G367" s="4"/>
      <c r="H367" s="4"/>
      <c r="I367" s="334" t="s">
        <v>13</v>
      </c>
      <c r="J367" s="334"/>
    </row>
    <row r="368" spans="1:10" s="57" customFormat="1" ht="15">
      <c r="A368" s="26" t="s">
        <v>333</v>
      </c>
      <c r="B368" s="55"/>
      <c r="C368" s="98"/>
      <c r="D368" s="53"/>
      <c r="E368" s="53"/>
      <c r="F368" s="53"/>
      <c r="G368" s="53"/>
      <c r="H368" s="53"/>
      <c r="I368" s="53"/>
      <c r="J368" s="56"/>
    </row>
    <row r="369" spans="1:10" s="64" customFormat="1" ht="42.75" customHeight="1">
      <c r="A369" s="7" t="s">
        <v>0</v>
      </c>
      <c r="B369" s="7" t="s">
        <v>1</v>
      </c>
      <c r="C369" s="7" t="s">
        <v>2</v>
      </c>
      <c r="D369" s="7" t="s">
        <v>3</v>
      </c>
      <c r="E369" s="163" t="s">
        <v>4</v>
      </c>
      <c r="F369" s="163" t="s">
        <v>5</v>
      </c>
      <c r="G369" s="163" t="s">
        <v>6</v>
      </c>
      <c r="H369" s="163" t="s">
        <v>7</v>
      </c>
      <c r="I369" s="8" t="s">
        <v>8</v>
      </c>
      <c r="J369" s="7" t="s">
        <v>14</v>
      </c>
    </row>
    <row r="370" spans="1:10" ht="45.75" customHeight="1">
      <c r="A370" s="15">
        <v>1</v>
      </c>
      <c r="B370" s="164" t="s">
        <v>196</v>
      </c>
      <c r="C370" s="61" t="s">
        <v>195</v>
      </c>
      <c r="D370" s="165">
        <f>1000+20</f>
        <v>1020</v>
      </c>
      <c r="E370" s="34"/>
      <c r="F370" s="273">
        <f>D370*E370</f>
        <v>0</v>
      </c>
      <c r="G370" s="92"/>
      <c r="H370" s="248">
        <f>F370+(F370*G370)</f>
        <v>0</v>
      </c>
      <c r="I370" s="108"/>
      <c r="J370" s="61"/>
    </row>
    <row r="371" spans="1:10" ht="14.25">
      <c r="A371" s="15"/>
      <c r="B371" s="16" t="s">
        <v>11</v>
      </c>
      <c r="C371" s="16"/>
      <c r="D371" s="166"/>
      <c r="E371" s="16"/>
      <c r="F371" s="274">
        <f>SUM(F370)</f>
        <v>0</v>
      </c>
      <c r="G371" s="79"/>
      <c r="H371" s="274">
        <f>SUM(H370)</f>
        <v>0</v>
      </c>
      <c r="I371" s="167"/>
      <c r="J371" s="16"/>
    </row>
    <row r="372" spans="1:10" ht="14.25">
      <c r="A372" s="109"/>
      <c r="B372" s="4"/>
      <c r="C372" s="82"/>
      <c r="D372" s="5"/>
      <c r="E372" s="5"/>
      <c r="F372" s="5"/>
      <c r="G372" s="5"/>
      <c r="H372" s="5"/>
      <c r="I372" s="5"/>
      <c r="J372" s="58"/>
    </row>
    <row r="373" spans="1:10" ht="14.25">
      <c r="A373" s="4"/>
      <c r="B373" s="4"/>
      <c r="C373" s="4"/>
      <c r="D373" s="4"/>
      <c r="E373" s="4"/>
      <c r="F373" s="5"/>
      <c r="G373" s="4"/>
      <c r="H373" s="4"/>
      <c r="I373" s="4"/>
      <c r="J373" s="6"/>
    </row>
    <row r="374" spans="1:10" ht="14.25">
      <c r="A374" s="4"/>
      <c r="B374" s="4"/>
      <c r="C374" s="4"/>
      <c r="D374" s="4"/>
      <c r="E374" s="4"/>
      <c r="F374" s="5"/>
      <c r="G374" s="4"/>
      <c r="H374" s="4"/>
      <c r="I374" s="4"/>
      <c r="J374" s="54"/>
    </row>
    <row r="375" spans="1:10" ht="14.25">
      <c r="A375" s="4"/>
      <c r="B375" s="4"/>
      <c r="C375" s="4"/>
      <c r="D375" s="4"/>
      <c r="E375" s="4"/>
      <c r="F375" s="5"/>
      <c r="G375" s="4"/>
      <c r="H375" s="4"/>
      <c r="I375" s="334" t="s">
        <v>12</v>
      </c>
      <c r="J375" s="334"/>
    </row>
    <row r="376" spans="1:10" ht="14.25">
      <c r="A376" s="4"/>
      <c r="B376" s="4"/>
      <c r="C376" s="4"/>
      <c r="D376" s="4"/>
      <c r="E376" s="4"/>
      <c r="F376" s="5"/>
      <c r="G376" s="4"/>
      <c r="H376" s="4"/>
      <c r="I376" s="334" t="s">
        <v>13</v>
      </c>
      <c r="J376" s="334"/>
    </row>
    <row r="377" spans="1:10" ht="15">
      <c r="A377" s="26" t="s">
        <v>334</v>
      </c>
      <c r="B377" s="4"/>
      <c r="C377" s="4"/>
      <c r="D377" s="4"/>
      <c r="E377" s="4"/>
      <c r="F377" s="5"/>
      <c r="G377" s="4"/>
      <c r="H377" s="4"/>
      <c r="I377" s="4"/>
      <c r="J377" s="6"/>
    </row>
    <row r="378" spans="1:10" s="170" customFormat="1" ht="42.75" customHeight="1">
      <c r="A378" s="169" t="s">
        <v>0</v>
      </c>
      <c r="B378" s="28" t="s">
        <v>1</v>
      </c>
      <c r="C378" s="28" t="s">
        <v>2</v>
      </c>
      <c r="D378" s="28" t="s">
        <v>3</v>
      </c>
      <c r="E378" s="28" t="s">
        <v>4</v>
      </c>
      <c r="F378" s="28" t="s">
        <v>5</v>
      </c>
      <c r="G378" s="28" t="s">
        <v>6</v>
      </c>
      <c r="H378" s="28" t="s">
        <v>7</v>
      </c>
      <c r="I378" s="30" t="s">
        <v>8</v>
      </c>
      <c r="J378" s="28" t="s">
        <v>9</v>
      </c>
    </row>
    <row r="379" spans="1:10" ht="31.5" customHeight="1">
      <c r="A379" s="31">
        <v>1</v>
      </c>
      <c r="B379" s="10" t="s">
        <v>197</v>
      </c>
      <c r="C379" s="14" t="s">
        <v>10</v>
      </c>
      <c r="D379" s="14">
        <f>10+10+150+20+30+10+5+2+10+3</f>
        <v>250</v>
      </c>
      <c r="E379" s="319"/>
      <c r="F379" s="270">
        <f>D379*E379</f>
        <v>0</v>
      </c>
      <c r="G379" s="95"/>
      <c r="H379" s="248">
        <f>F379+(F379*G379)</f>
        <v>0</v>
      </c>
      <c r="I379" s="38"/>
      <c r="J379" s="38"/>
    </row>
    <row r="380" spans="1:10" ht="30" customHeight="1">
      <c r="A380" s="31">
        <v>2</v>
      </c>
      <c r="B380" s="10" t="s">
        <v>198</v>
      </c>
      <c r="C380" s="14" t="s">
        <v>10</v>
      </c>
      <c r="D380" s="14">
        <f>10+10+150+10+100+10+5+2+10+3</f>
        <v>310</v>
      </c>
      <c r="E380" s="319"/>
      <c r="F380" s="270">
        <f>D380*E380</f>
        <v>0</v>
      </c>
      <c r="G380" s="95"/>
      <c r="H380" s="248">
        <f>F380+(F380*G380)</f>
        <v>0</v>
      </c>
      <c r="I380" s="38" t="s">
        <v>20</v>
      </c>
      <c r="J380" s="38"/>
    </row>
    <row r="381" spans="1:10" ht="37.5" customHeight="1">
      <c r="A381" s="31">
        <v>3</v>
      </c>
      <c r="B381" s="10" t="s">
        <v>199</v>
      </c>
      <c r="C381" s="14" t="s">
        <v>10</v>
      </c>
      <c r="D381" s="14">
        <f>9+50+2+20+30+10+9</f>
        <v>130</v>
      </c>
      <c r="E381" s="319"/>
      <c r="F381" s="270">
        <f>D381*E381</f>
        <v>0</v>
      </c>
      <c r="G381" s="95"/>
      <c r="H381" s="248">
        <f>F381+(F381*G381)</f>
        <v>0</v>
      </c>
      <c r="I381" s="38"/>
      <c r="J381" s="38"/>
    </row>
    <row r="382" spans="1:10" ht="33" customHeight="1">
      <c r="A382" s="31">
        <v>4</v>
      </c>
      <c r="B382" s="10" t="s">
        <v>200</v>
      </c>
      <c r="C382" s="14" t="s">
        <v>10</v>
      </c>
      <c r="D382" s="14">
        <f>100+100+100+1000</f>
        <v>1300</v>
      </c>
      <c r="E382" s="319"/>
      <c r="F382" s="270">
        <f>D382*E382</f>
        <v>0</v>
      </c>
      <c r="G382" s="95"/>
      <c r="H382" s="248">
        <f>F382+(F382*G382)</f>
        <v>0</v>
      </c>
      <c r="I382" s="38"/>
      <c r="J382" s="38"/>
    </row>
    <row r="383" spans="1:10" ht="57" customHeight="1">
      <c r="A383" s="31">
        <v>5</v>
      </c>
      <c r="B383" s="10" t="s">
        <v>201</v>
      </c>
      <c r="C383" s="14" t="s">
        <v>10</v>
      </c>
      <c r="D383" s="14">
        <f>20+20+2+10+1+20+50+2</f>
        <v>125</v>
      </c>
      <c r="E383" s="319"/>
      <c r="F383" s="270">
        <f>D383*E383</f>
        <v>0</v>
      </c>
      <c r="G383" s="95"/>
      <c r="H383" s="248">
        <f>F383+(F383*G383)</f>
        <v>0</v>
      </c>
      <c r="I383" s="38"/>
      <c r="J383" s="38"/>
    </row>
    <row r="384" spans="1:10" ht="14.25">
      <c r="A384" s="77"/>
      <c r="B384" s="9" t="s">
        <v>11</v>
      </c>
      <c r="C384" s="77"/>
      <c r="D384" s="77"/>
      <c r="E384" s="77"/>
      <c r="F384" s="271">
        <f>SUM(F379:F383)</f>
        <v>0</v>
      </c>
      <c r="G384" s="168"/>
      <c r="H384" s="271">
        <f>SUM(H379:H383)</f>
        <v>0</v>
      </c>
      <c r="I384" s="77"/>
      <c r="J384" s="60"/>
    </row>
    <row r="385" spans="1:10" ht="14.25">
      <c r="A385" s="4"/>
      <c r="B385" s="4"/>
      <c r="C385" s="4"/>
      <c r="D385" s="4"/>
      <c r="E385" s="4"/>
      <c r="F385" s="5"/>
      <c r="G385" s="4"/>
      <c r="H385" s="269"/>
      <c r="I385" s="4"/>
      <c r="J385" s="6"/>
    </row>
    <row r="386" spans="1:10" ht="14.25">
      <c r="A386" s="4"/>
      <c r="B386" s="4"/>
      <c r="C386" s="4"/>
      <c r="D386" s="4"/>
      <c r="E386" s="4"/>
      <c r="F386" s="5"/>
      <c r="G386" s="4"/>
      <c r="H386" s="4"/>
      <c r="I386" s="4"/>
      <c r="J386" s="6"/>
    </row>
    <row r="387" spans="1:10" ht="14.25">
      <c r="A387" s="4"/>
      <c r="B387" s="4"/>
      <c r="C387" s="4"/>
      <c r="D387" s="4"/>
      <c r="E387" s="4"/>
      <c r="F387" s="5"/>
      <c r="G387" s="4"/>
      <c r="H387" s="4"/>
      <c r="I387" s="4"/>
      <c r="J387" s="58"/>
    </row>
    <row r="388" spans="1:10" ht="14.25">
      <c r="A388" s="4"/>
      <c r="B388" s="4"/>
      <c r="C388" s="4"/>
      <c r="D388" s="4"/>
      <c r="E388" s="4"/>
      <c r="F388" s="5"/>
      <c r="G388" s="4"/>
      <c r="H388" s="4"/>
      <c r="I388" s="4"/>
      <c r="J388" s="54"/>
    </row>
    <row r="389" spans="1:10" ht="14.25">
      <c r="A389" s="4"/>
      <c r="B389" s="4"/>
      <c r="C389" s="4"/>
      <c r="D389" s="4"/>
      <c r="E389" s="4"/>
      <c r="F389" s="5"/>
      <c r="G389" s="4"/>
      <c r="H389" s="4"/>
      <c r="I389" s="334" t="s">
        <v>12</v>
      </c>
      <c r="J389" s="334"/>
    </row>
    <row r="390" spans="1:10" ht="14.25">
      <c r="A390" s="4"/>
      <c r="B390" s="4"/>
      <c r="C390" s="4"/>
      <c r="D390" s="4"/>
      <c r="E390" s="4"/>
      <c r="F390" s="5"/>
      <c r="G390" s="4"/>
      <c r="H390" s="4"/>
      <c r="I390" s="334" t="s">
        <v>13</v>
      </c>
      <c r="J390" s="334"/>
    </row>
    <row r="391" spans="1:10" ht="15">
      <c r="A391" s="26" t="s">
        <v>335</v>
      </c>
      <c r="B391" s="4"/>
      <c r="C391" s="4"/>
      <c r="D391" s="4"/>
      <c r="E391" s="4"/>
      <c r="F391" s="5"/>
      <c r="G391" s="4"/>
      <c r="H391" s="4"/>
      <c r="I391" s="4"/>
      <c r="J391" s="6"/>
    </row>
    <row r="392" spans="1:10" ht="38.25">
      <c r="A392" s="169" t="s">
        <v>0</v>
      </c>
      <c r="B392" s="28" t="s">
        <v>1</v>
      </c>
      <c r="C392" s="28" t="s">
        <v>2</v>
      </c>
      <c r="D392" s="28" t="s">
        <v>3</v>
      </c>
      <c r="E392" s="28" t="s">
        <v>4</v>
      </c>
      <c r="F392" s="28" t="s">
        <v>5</v>
      </c>
      <c r="G392" s="28" t="s">
        <v>6</v>
      </c>
      <c r="H392" s="28" t="s">
        <v>7</v>
      </c>
      <c r="I392" s="30" t="s">
        <v>8</v>
      </c>
      <c r="J392" s="28" t="s">
        <v>9</v>
      </c>
    </row>
    <row r="393" spans="1:10" ht="54.75" customHeight="1">
      <c r="A393" s="31">
        <v>1</v>
      </c>
      <c r="B393" s="162" t="s">
        <v>202</v>
      </c>
      <c r="C393" s="14" t="s">
        <v>10</v>
      </c>
      <c r="D393" s="14">
        <f>20</f>
        <v>20</v>
      </c>
      <c r="E393" s="319"/>
      <c r="F393" s="270">
        <f>D393*E393</f>
        <v>0</v>
      </c>
      <c r="G393" s="95"/>
      <c r="H393" s="248">
        <f>F393+(F393*G393)</f>
        <v>0</v>
      </c>
      <c r="I393" s="38"/>
      <c r="J393" s="38"/>
    </row>
    <row r="394" spans="1:10" ht="14.25">
      <c r="A394" s="77"/>
      <c r="B394" s="9" t="s">
        <v>11</v>
      </c>
      <c r="C394" s="77"/>
      <c r="D394" s="77"/>
      <c r="E394" s="77"/>
      <c r="F394" s="271">
        <f>SUM(F393)</f>
        <v>0</v>
      </c>
      <c r="G394" s="168"/>
      <c r="H394" s="271">
        <f>SUM(H393)</f>
        <v>0</v>
      </c>
      <c r="I394" s="77"/>
      <c r="J394" s="60"/>
    </row>
    <row r="395" spans="1:10" ht="14.25">
      <c r="A395" s="4"/>
      <c r="B395" s="4"/>
      <c r="C395" s="4"/>
      <c r="D395" s="4"/>
      <c r="E395" s="4"/>
      <c r="F395" s="5"/>
      <c r="G395" s="4"/>
      <c r="H395" s="4"/>
      <c r="I395" s="4"/>
      <c r="J395" s="6"/>
    </row>
    <row r="396" spans="1:10" ht="14.25">
      <c r="A396" s="4"/>
      <c r="B396" s="4"/>
      <c r="C396" s="4"/>
      <c r="D396" s="4"/>
      <c r="E396" s="4"/>
      <c r="F396" s="5"/>
      <c r="G396" s="4"/>
      <c r="H396" s="4"/>
      <c r="I396" s="4"/>
      <c r="J396" s="6"/>
    </row>
    <row r="397" spans="1:10" ht="14.25">
      <c r="A397" s="4"/>
      <c r="B397" s="4"/>
      <c r="C397" s="4"/>
      <c r="D397" s="4"/>
      <c r="E397" s="4"/>
      <c r="F397" s="5"/>
      <c r="G397" s="4"/>
      <c r="H397" s="4"/>
      <c r="I397" s="4"/>
      <c r="J397" s="171"/>
    </row>
    <row r="398" spans="1:10" ht="14.25">
      <c r="A398" s="4"/>
      <c r="B398" s="4"/>
      <c r="C398" s="4"/>
      <c r="D398" s="4"/>
      <c r="E398" s="4"/>
      <c r="F398" s="5"/>
      <c r="G398" s="4"/>
      <c r="H398" s="4"/>
      <c r="I398" s="334" t="s">
        <v>12</v>
      </c>
      <c r="J398" s="334"/>
    </row>
    <row r="399" spans="1:10" ht="14.25">
      <c r="A399" s="4"/>
      <c r="B399" s="4"/>
      <c r="C399" s="4"/>
      <c r="D399" s="4"/>
      <c r="E399" s="4"/>
      <c r="F399" s="5"/>
      <c r="G399" s="4"/>
      <c r="H399" s="4"/>
      <c r="I399" s="334" t="s">
        <v>13</v>
      </c>
      <c r="J399" s="334"/>
    </row>
    <row r="400" spans="1:10" ht="15">
      <c r="A400" s="26" t="s">
        <v>336</v>
      </c>
      <c r="B400" s="4"/>
      <c r="C400" s="4"/>
      <c r="D400" s="4"/>
      <c r="E400" s="4"/>
      <c r="F400" s="5"/>
      <c r="G400" s="4"/>
      <c r="H400" s="4"/>
      <c r="I400" s="4"/>
      <c r="J400" s="6"/>
    </row>
    <row r="401" spans="1:10" s="170" customFormat="1" ht="42.75" customHeight="1">
      <c r="A401" s="28" t="s">
        <v>0</v>
      </c>
      <c r="B401" s="28" t="s">
        <v>1</v>
      </c>
      <c r="C401" s="28" t="s">
        <v>2</v>
      </c>
      <c r="D401" s="28" t="s">
        <v>3</v>
      </c>
      <c r="E401" s="28" t="s">
        <v>4</v>
      </c>
      <c r="F401" s="28" t="s">
        <v>5</v>
      </c>
      <c r="G401" s="28" t="s">
        <v>6</v>
      </c>
      <c r="H401" s="28" t="s">
        <v>7</v>
      </c>
      <c r="I401" s="30" t="s">
        <v>8</v>
      </c>
      <c r="J401" s="28" t="s">
        <v>9</v>
      </c>
    </row>
    <row r="402" spans="1:10" ht="58.5" customHeight="1">
      <c r="A402" s="31">
        <v>1</v>
      </c>
      <c r="B402" s="96" t="s">
        <v>203</v>
      </c>
      <c r="C402" s="14" t="s">
        <v>10</v>
      </c>
      <c r="D402" s="14">
        <f>2000</f>
        <v>2000</v>
      </c>
      <c r="E402" s="319"/>
      <c r="F402" s="270">
        <f>D402*E402</f>
        <v>0</v>
      </c>
      <c r="G402" s="95"/>
      <c r="H402" s="248">
        <f>F402+(F402*G402)</f>
        <v>0</v>
      </c>
      <c r="I402" s="38"/>
      <c r="J402" s="38"/>
    </row>
    <row r="403" spans="1:10" ht="74.25" customHeight="1">
      <c r="A403" s="31">
        <v>2</v>
      </c>
      <c r="B403" s="96" t="s">
        <v>204</v>
      </c>
      <c r="C403" s="14" t="s">
        <v>10</v>
      </c>
      <c r="D403" s="14">
        <f>50+30+150+20+100+200</f>
        <v>550</v>
      </c>
      <c r="E403" s="319"/>
      <c r="F403" s="270">
        <f>D403*E403</f>
        <v>0</v>
      </c>
      <c r="G403" s="95"/>
      <c r="H403" s="248">
        <f>F403+(F403*G403)</f>
        <v>0</v>
      </c>
      <c r="I403" s="38"/>
      <c r="J403" s="38"/>
    </row>
    <row r="404" spans="1:10" ht="45" customHeight="1">
      <c r="A404" s="31">
        <v>3</v>
      </c>
      <c r="B404" s="10" t="s">
        <v>205</v>
      </c>
      <c r="C404" s="14" t="s">
        <v>10</v>
      </c>
      <c r="D404" s="14">
        <f>2500+20</f>
        <v>2520</v>
      </c>
      <c r="E404" s="319"/>
      <c r="F404" s="270">
        <f>D404*E404</f>
        <v>0</v>
      </c>
      <c r="G404" s="95"/>
      <c r="H404" s="248">
        <f>F404+(F404*G404)</f>
        <v>0</v>
      </c>
      <c r="I404" s="38"/>
      <c r="J404" s="38"/>
    </row>
    <row r="405" spans="1:10" ht="35.25" customHeight="1">
      <c r="A405" s="31">
        <v>4</v>
      </c>
      <c r="B405" s="10" t="s">
        <v>206</v>
      </c>
      <c r="C405" s="14" t="s">
        <v>10</v>
      </c>
      <c r="D405" s="14">
        <f>60</f>
        <v>60</v>
      </c>
      <c r="E405" s="319"/>
      <c r="F405" s="270">
        <f>D405*E405</f>
        <v>0</v>
      </c>
      <c r="G405" s="95"/>
      <c r="H405" s="248">
        <f>F405+(F405*G405)</f>
        <v>0</v>
      </c>
      <c r="I405" s="38"/>
      <c r="J405" s="38"/>
    </row>
    <row r="406" spans="1:252" s="174" customFormat="1" ht="81.75" customHeight="1">
      <c r="A406" s="31">
        <v>5</v>
      </c>
      <c r="B406" s="10" t="s">
        <v>207</v>
      </c>
      <c r="C406" s="14" t="s">
        <v>10</v>
      </c>
      <c r="D406" s="14">
        <f>1000</f>
        <v>1000</v>
      </c>
      <c r="E406" s="318"/>
      <c r="F406" s="270">
        <f>D406*E406</f>
        <v>0</v>
      </c>
      <c r="G406" s="95"/>
      <c r="H406" s="248">
        <f>F406+(F406*G406)</f>
        <v>0</v>
      </c>
      <c r="I406" s="11"/>
      <c r="J406" s="14"/>
      <c r="K406" s="172"/>
      <c r="L406" s="173"/>
      <c r="P406" s="175"/>
      <c r="R406" s="176"/>
      <c r="S406" s="175"/>
      <c r="T406" s="175"/>
      <c r="U406" s="172"/>
      <c r="V406" s="173"/>
      <c r="Z406" s="175"/>
      <c r="AB406" s="176"/>
      <c r="AC406" s="175"/>
      <c r="AD406" s="175"/>
      <c r="AE406" s="172"/>
      <c r="AF406" s="173"/>
      <c r="AJ406" s="175"/>
      <c r="AL406" s="176"/>
      <c r="AM406" s="175"/>
      <c r="AN406" s="175"/>
      <c r="AO406" s="172"/>
      <c r="AP406" s="173"/>
      <c r="AT406" s="175"/>
      <c r="AV406" s="176"/>
      <c r="AW406" s="175"/>
      <c r="AX406" s="175"/>
      <c r="AY406" s="172"/>
      <c r="AZ406" s="173"/>
      <c r="BD406" s="175"/>
      <c r="BF406" s="176"/>
      <c r="BG406" s="175"/>
      <c r="BH406" s="175"/>
      <c r="BI406" s="172"/>
      <c r="BJ406" s="173"/>
      <c r="BN406" s="175"/>
      <c r="BP406" s="176"/>
      <c r="BQ406" s="175"/>
      <c r="BR406" s="175"/>
      <c r="BS406" s="172"/>
      <c r="BT406" s="173"/>
      <c r="BX406" s="175"/>
      <c r="BZ406" s="176"/>
      <c r="CA406" s="175"/>
      <c r="CB406" s="175"/>
      <c r="CC406" s="172"/>
      <c r="CD406" s="173"/>
      <c r="CH406" s="175"/>
      <c r="CJ406" s="176"/>
      <c r="CK406" s="175"/>
      <c r="CL406" s="175"/>
      <c r="CM406" s="172"/>
      <c r="CN406" s="173"/>
      <c r="CR406" s="175"/>
      <c r="CT406" s="176"/>
      <c r="CU406" s="175"/>
      <c r="CV406" s="175"/>
      <c r="CW406" s="172"/>
      <c r="CX406" s="173"/>
      <c r="DB406" s="175"/>
      <c r="DD406" s="176"/>
      <c r="DE406" s="175"/>
      <c r="DF406" s="175"/>
      <c r="DG406" s="172"/>
      <c r="DH406" s="173"/>
      <c r="DL406" s="175"/>
      <c r="DN406" s="176"/>
      <c r="DO406" s="175"/>
      <c r="DP406" s="175"/>
      <c r="DQ406" s="172"/>
      <c r="DR406" s="173"/>
      <c r="DV406" s="175"/>
      <c r="DX406" s="176"/>
      <c r="DY406" s="175"/>
      <c r="DZ406" s="175"/>
      <c r="EA406" s="172"/>
      <c r="EB406" s="173"/>
      <c r="EF406" s="175"/>
      <c r="EH406" s="176"/>
      <c r="EI406" s="175"/>
      <c r="EJ406" s="175"/>
      <c r="EK406" s="172"/>
      <c r="EL406" s="173"/>
      <c r="EP406" s="175"/>
      <c r="ER406" s="176"/>
      <c r="ES406" s="175"/>
      <c r="ET406" s="175"/>
      <c r="EU406" s="172"/>
      <c r="EV406" s="173"/>
      <c r="EZ406" s="175"/>
      <c r="FB406" s="176"/>
      <c r="FC406" s="175"/>
      <c r="FD406" s="175"/>
      <c r="FE406" s="172"/>
      <c r="FF406" s="173"/>
      <c r="FJ406" s="175"/>
      <c r="FL406" s="176"/>
      <c r="FM406" s="175"/>
      <c r="FN406" s="175"/>
      <c r="FO406" s="172"/>
      <c r="FP406" s="173"/>
      <c r="FT406" s="175"/>
      <c r="FV406" s="176"/>
      <c r="FW406" s="175"/>
      <c r="FX406" s="175"/>
      <c r="FY406" s="172"/>
      <c r="FZ406" s="173"/>
      <c r="GD406" s="175"/>
      <c r="GF406" s="176"/>
      <c r="GG406" s="175"/>
      <c r="GH406" s="175"/>
      <c r="GI406" s="172"/>
      <c r="GJ406" s="173"/>
      <c r="GN406" s="175"/>
      <c r="GP406" s="176"/>
      <c r="GQ406" s="175"/>
      <c r="GR406" s="175"/>
      <c r="GS406" s="172"/>
      <c r="GT406" s="173"/>
      <c r="GX406" s="175"/>
      <c r="GZ406" s="176"/>
      <c r="HA406" s="175"/>
      <c r="HB406" s="175"/>
      <c r="HC406" s="172"/>
      <c r="HD406" s="173"/>
      <c r="HH406" s="175"/>
      <c r="HJ406" s="176"/>
      <c r="HK406" s="175"/>
      <c r="HL406" s="175"/>
      <c r="HM406" s="172"/>
      <c r="HN406" s="173"/>
      <c r="HR406" s="175"/>
      <c r="HT406" s="176"/>
      <c r="HU406" s="175"/>
      <c r="HV406" s="175"/>
      <c r="HW406" s="172"/>
      <c r="HX406" s="173"/>
      <c r="IB406" s="175"/>
      <c r="ID406" s="176"/>
      <c r="IE406" s="175"/>
      <c r="IF406" s="175"/>
      <c r="IG406" s="172"/>
      <c r="IH406" s="173"/>
      <c r="IL406" s="175"/>
      <c r="IN406" s="176"/>
      <c r="IO406" s="175"/>
      <c r="IP406" s="175"/>
      <c r="IQ406" s="172"/>
      <c r="IR406" s="173"/>
    </row>
    <row r="407" spans="1:10" ht="14.25">
      <c r="A407" s="77"/>
      <c r="B407" s="9" t="s">
        <v>11</v>
      </c>
      <c r="C407" s="77"/>
      <c r="D407" s="77"/>
      <c r="E407" s="77"/>
      <c r="F407" s="271">
        <f>SUM(F402:F406)</f>
        <v>0</v>
      </c>
      <c r="G407" s="168"/>
      <c r="H407" s="271">
        <f>SUM(H402:H406)</f>
        <v>0</v>
      </c>
      <c r="I407" s="77"/>
      <c r="J407" s="60"/>
    </row>
    <row r="408" spans="1:10" ht="14.25">
      <c r="A408" s="4"/>
      <c r="B408" s="4"/>
      <c r="C408" s="4"/>
      <c r="D408" s="4"/>
      <c r="E408" s="4"/>
      <c r="F408" s="5"/>
      <c r="G408" s="4"/>
      <c r="H408" s="4"/>
      <c r="I408" s="4"/>
      <c r="J408" s="6"/>
    </row>
    <row r="409" spans="1:10" ht="14.25">
      <c r="A409" s="4"/>
      <c r="B409" s="4"/>
      <c r="C409" s="4"/>
      <c r="D409" s="4"/>
      <c r="E409" s="4"/>
      <c r="F409" s="5"/>
      <c r="G409" s="4"/>
      <c r="H409" s="4"/>
      <c r="I409" s="4"/>
      <c r="J409" s="6"/>
    </row>
    <row r="410" spans="1:10" ht="14.25">
      <c r="A410" s="4"/>
      <c r="B410" s="4"/>
      <c r="C410" s="4"/>
      <c r="D410" s="4"/>
      <c r="E410" s="4"/>
      <c r="F410" s="5"/>
      <c r="G410" s="4"/>
      <c r="H410" s="4"/>
      <c r="I410" s="334" t="s">
        <v>12</v>
      </c>
      <c r="J410" s="334"/>
    </row>
    <row r="411" spans="1:10" ht="14.25">
      <c r="A411" s="4"/>
      <c r="B411" s="4"/>
      <c r="C411" s="4"/>
      <c r="D411" s="4"/>
      <c r="E411" s="4"/>
      <c r="F411" s="5"/>
      <c r="G411" s="4"/>
      <c r="H411" s="4"/>
      <c r="I411" s="334" t="s">
        <v>13</v>
      </c>
      <c r="J411" s="334"/>
    </row>
    <row r="412" spans="1:10" ht="14.25">
      <c r="A412" s="340" t="s">
        <v>337</v>
      </c>
      <c r="B412" s="340"/>
      <c r="C412" s="340"/>
      <c r="D412" s="340"/>
      <c r="E412" s="340"/>
      <c r="F412" s="340"/>
      <c r="G412" s="340"/>
      <c r="H412" s="340"/>
      <c r="I412" s="340"/>
      <c r="J412" s="340"/>
    </row>
    <row r="413" spans="1:10" ht="38.25">
      <c r="A413" s="169" t="s">
        <v>0</v>
      </c>
      <c r="B413" s="28" t="s">
        <v>1</v>
      </c>
      <c r="C413" s="28" t="s">
        <v>2</v>
      </c>
      <c r="D413" s="28" t="s">
        <v>3</v>
      </c>
      <c r="E413" s="28" t="s">
        <v>4</v>
      </c>
      <c r="F413" s="28" t="s">
        <v>5</v>
      </c>
      <c r="G413" s="28" t="s">
        <v>6</v>
      </c>
      <c r="H413" s="28" t="s">
        <v>7</v>
      </c>
      <c r="I413" s="30" t="s">
        <v>8</v>
      </c>
      <c r="J413" s="28" t="s">
        <v>9</v>
      </c>
    </row>
    <row r="414" spans="1:10" ht="57.75" customHeight="1">
      <c r="A414" s="187">
        <v>1</v>
      </c>
      <c r="B414" s="149" t="s">
        <v>210</v>
      </c>
      <c r="C414" s="150" t="s">
        <v>208</v>
      </c>
      <c r="D414" s="150">
        <f>30+30+5+5</f>
        <v>70</v>
      </c>
      <c r="E414" s="152"/>
      <c r="F414" s="267">
        <f>D414*E414</f>
        <v>0</v>
      </c>
      <c r="G414" s="188"/>
      <c r="H414" s="248">
        <f aca="true" t="shared" si="16" ref="H414:H423">F414+(F414*G414)</f>
        <v>0</v>
      </c>
      <c r="I414" s="150"/>
      <c r="J414" s="154"/>
    </row>
    <row r="415" spans="1:10" ht="38.25" customHeight="1">
      <c r="A415" s="187">
        <v>2</v>
      </c>
      <c r="B415" s="149" t="s">
        <v>211</v>
      </c>
      <c r="C415" s="150" t="s">
        <v>208</v>
      </c>
      <c r="D415" s="150">
        <f>30+20</f>
        <v>50</v>
      </c>
      <c r="E415" s="152"/>
      <c r="F415" s="267">
        <f aca="true" t="shared" si="17" ref="F415:F423">D415*E415</f>
        <v>0</v>
      </c>
      <c r="G415" s="188"/>
      <c r="H415" s="248">
        <f t="shared" si="16"/>
        <v>0</v>
      </c>
      <c r="I415" s="150"/>
      <c r="J415" s="154"/>
    </row>
    <row r="416" spans="1:10" ht="37.5" customHeight="1">
      <c r="A416" s="187">
        <v>3</v>
      </c>
      <c r="B416" s="149" t="s">
        <v>212</v>
      </c>
      <c r="C416" s="150" t="s">
        <v>208</v>
      </c>
      <c r="D416" s="150">
        <f>5</f>
        <v>5</v>
      </c>
      <c r="E416" s="152"/>
      <c r="F416" s="267">
        <f t="shared" si="17"/>
        <v>0</v>
      </c>
      <c r="G416" s="188"/>
      <c r="H416" s="248">
        <f t="shared" si="16"/>
        <v>0</v>
      </c>
      <c r="I416" s="150"/>
      <c r="J416" s="154"/>
    </row>
    <row r="417" spans="1:10" ht="42" customHeight="1">
      <c r="A417" s="187">
        <v>4</v>
      </c>
      <c r="B417" s="191" t="s">
        <v>213</v>
      </c>
      <c r="C417" s="181" t="s">
        <v>208</v>
      </c>
      <c r="D417" s="181">
        <v>10</v>
      </c>
      <c r="E417" s="192"/>
      <c r="F417" s="267">
        <f t="shared" si="17"/>
        <v>0</v>
      </c>
      <c r="G417" s="193"/>
      <c r="H417" s="248">
        <f t="shared" si="16"/>
        <v>0</v>
      </c>
      <c r="I417" s="181"/>
      <c r="J417" s="194"/>
    </row>
    <row r="418" spans="1:10" ht="48" customHeight="1">
      <c r="A418" s="187">
        <v>5</v>
      </c>
      <c r="B418" s="194" t="s">
        <v>214</v>
      </c>
      <c r="C418" s="181" t="s">
        <v>208</v>
      </c>
      <c r="D418" s="181">
        <f>3+2+4+1</f>
        <v>10</v>
      </c>
      <c r="E418" s="192"/>
      <c r="F418" s="267">
        <f t="shared" si="17"/>
        <v>0</v>
      </c>
      <c r="G418" s="180"/>
      <c r="H418" s="248">
        <f t="shared" si="16"/>
        <v>0</v>
      </c>
      <c r="I418" s="179"/>
      <c r="J418" s="194"/>
    </row>
    <row r="419" spans="1:10" ht="34.5" customHeight="1">
      <c r="A419" s="187">
        <v>6</v>
      </c>
      <c r="B419" s="194" t="s">
        <v>215</v>
      </c>
      <c r="C419" s="181" t="s">
        <v>208</v>
      </c>
      <c r="D419" s="181">
        <f>1</f>
        <v>1</v>
      </c>
      <c r="E419" s="192"/>
      <c r="F419" s="267">
        <f t="shared" si="17"/>
        <v>0</v>
      </c>
      <c r="G419" s="180"/>
      <c r="H419" s="248">
        <f t="shared" si="16"/>
        <v>0</v>
      </c>
      <c r="I419" s="179"/>
      <c r="J419" s="194"/>
    </row>
    <row r="420" spans="1:10" ht="26.25" customHeight="1">
      <c r="A420" s="187">
        <v>7</v>
      </c>
      <c r="B420" s="194" t="s">
        <v>216</v>
      </c>
      <c r="C420" s="181" t="s">
        <v>208</v>
      </c>
      <c r="D420" s="181">
        <f>10+5+3</f>
        <v>18</v>
      </c>
      <c r="E420" s="192"/>
      <c r="F420" s="267">
        <f t="shared" si="17"/>
        <v>0</v>
      </c>
      <c r="G420" s="180"/>
      <c r="H420" s="248">
        <f t="shared" si="16"/>
        <v>0</v>
      </c>
      <c r="I420" s="179"/>
      <c r="J420" s="194"/>
    </row>
    <row r="421" spans="1:10" ht="48.75" customHeight="1">
      <c r="A421" s="187">
        <v>8</v>
      </c>
      <c r="B421" s="190" t="s">
        <v>217</v>
      </c>
      <c r="C421" s="181" t="s">
        <v>208</v>
      </c>
      <c r="D421" s="181">
        <f>5</f>
        <v>5</v>
      </c>
      <c r="E421" s="192"/>
      <c r="F421" s="267">
        <f t="shared" si="17"/>
        <v>0</v>
      </c>
      <c r="G421" s="180"/>
      <c r="H421" s="248">
        <f t="shared" si="16"/>
        <v>0</v>
      </c>
      <c r="I421" s="179"/>
      <c r="J421" s="194"/>
    </row>
    <row r="422" spans="1:10" ht="51" customHeight="1">
      <c r="A422" s="187">
        <v>9</v>
      </c>
      <c r="B422" s="194" t="s">
        <v>252</v>
      </c>
      <c r="C422" s="181" t="s">
        <v>208</v>
      </c>
      <c r="D422" s="181">
        <f>10+20</f>
        <v>30</v>
      </c>
      <c r="E422" s="192"/>
      <c r="F422" s="267">
        <f t="shared" si="17"/>
        <v>0</v>
      </c>
      <c r="G422" s="180"/>
      <c r="H422" s="248">
        <f t="shared" si="16"/>
        <v>0</v>
      </c>
      <c r="I422" s="179"/>
      <c r="J422" s="194"/>
    </row>
    <row r="423" spans="1:10" ht="218.25" customHeight="1">
      <c r="A423" s="187">
        <v>10</v>
      </c>
      <c r="B423" s="194" t="s">
        <v>256</v>
      </c>
      <c r="C423" s="181" t="s">
        <v>208</v>
      </c>
      <c r="D423" s="181">
        <v>50</v>
      </c>
      <c r="E423" s="192"/>
      <c r="F423" s="267">
        <f t="shared" si="17"/>
        <v>0</v>
      </c>
      <c r="G423" s="180"/>
      <c r="H423" s="248">
        <f t="shared" si="16"/>
        <v>0</v>
      </c>
      <c r="I423" s="179"/>
      <c r="J423" s="194"/>
    </row>
    <row r="424" spans="1:10" ht="14.25">
      <c r="A424" s="341" t="s">
        <v>11</v>
      </c>
      <c r="B424" s="341"/>
      <c r="C424" s="341"/>
      <c r="D424" s="341"/>
      <c r="E424" s="341"/>
      <c r="F424" s="266">
        <f>SUM(F414:F423)</f>
        <v>0</v>
      </c>
      <c r="G424" s="195"/>
      <c r="H424" s="215">
        <f>SUM(H414:H423)</f>
        <v>0</v>
      </c>
      <c r="I424" s="196"/>
      <c r="J424" s="196"/>
    </row>
    <row r="425" spans="1:10" ht="7.5" customHeight="1">
      <c r="A425" s="183"/>
      <c r="B425" s="183"/>
      <c r="C425" s="197"/>
      <c r="D425" s="197"/>
      <c r="E425" s="198"/>
      <c r="F425" s="199"/>
      <c r="G425" s="185"/>
      <c r="H425" s="200"/>
      <c r="I425" s="4"/>
      <c r="J425" s="6"/>
    </row>
    <row r="426" spans="1:10" ht="14.25">
      <c r="A426" s="183"/>
      <c r="B426" s="183"/>
      <c r="C426" s="197"/>
      <c r="D426" s="197"/>
      <c r="E426" s="198"/>
      <c r="F426" s="199"/>
      <c r="G426" s="185"/>
      <c r="H426" s="200"/>
      <c r="I426" s="334" t="s">
        <v>12</v>
      </c>
      <c r="J426" s="334"/>
    </row>
    <row r="427" spans="1:10" ht="14.25">
      <c r="A427" s="183"/>
      <c r="B427" s="183"/>
      <c r="C427" s="197"/>
      <c r="D427" s="197"/>
      <c r="E427" s="198"/>
      <c r="F427" s="199"/>
      <c r="G427" s="185"/>
      <c r="H427" s="200"/>
      <c r="I427" s="334" t="s">
        <v>13</v>
      </c>
      <c r="J427" s="334"/>
    </row>
    <row r="428" spans="1:10" ht="14.25">
      <c r="A428" s="340" t="s">
        <v>338</v>
      </c>
      <c r="B428" s="340"/>
      <c r="C428" s="340"/>
      <c r="D428" s="340"/>
      <c r="E428" s="340"/>
      <c r="F428" s="340"/>
      <c r="G428" s="340"/>
      <c r="H428" s="340"/>
      <c r="I428" s="340"/>
      <c r="J428" s="340"/>
    </row>
    <row r="429" spans="1:10" ht="38.25">
      <c r="A429" s="169" t="s">
        <v>0</v>
      </c>
      <c r="B429" s="28" t="s">
        <v>1</v>
      </c>
      <c r="C429" s="28" t="s">
        <v>2</v>
      </c>
      <c r="D429" s="28" t="s">
        <v>3</v>
      </c>
      <c r="E429" s="28" t="s">
        <v>4</v>
      </c>
      <c r="F429" s="28" t="s">
        <v>5</v>
      </c>
      <c r="G429" s="28" t="s">
        <v>6</v>
      </c>
      <c r="H429" s="28" t="s">
        <v>7</v>
      </c>
      <c r="I429" s="30" t="s">
        <v>8</v>
      </c>
      <c r="J429" s="28" t="s">
        <v>9</v>
      </c>
    </row>
    <row r="430" spans="1:10" ht="30.75" customHeight="1">
      <c r="A430" s="177">
        <v>1</v>
      </c>
      <c r="B430" s="178" t="s">
        <v>219</v>
      </c>
      <c r="C430" s="181" t="s">
        <v>218</v>
      </c>
      <c r="D430" s="201">
        <f>500</f>
        <v>500</v>
      </c>
      <c r="E430" s="192"/>
      <c r="F430" s="209">
        <f>D430*E430</f>
        <v>0</v>
      </c>
      <c r="G430" s="180"/>
      <c r="H430" s="248">
        <f aca="true" t="shared" si="18" ref="H430:H441">F430+(F430*G430)</f>
        <v>0</v>
      </c>
      <c r="I430" s="181"/>
      <c r="J430" s="182"/>
    </row>
    <row r="431" spans="1:10" ht="32.25" customHeight="1">
      <c r="A431" s="177">
        <v>2</v>
      </c>
      <c r="B431" s="178" t="s">
        <v>220</v>
      </c>
      <c r="C431" s="181" t="s">
        <v>218</v>
      </c>
      <c r="D431" s="201">
        <f>300</f>
        <v>300</v>
      </c>
      <c r="E431" s="192"/>
      <c r="F431" s="209">
        <f aca="true" t="shared" si="19" ref="F431:F441">D431*E431</f>
        <v>0</v>
      </c>
      <c r="G431" s="180"/>
      <c r="H431" s="248">
        <f t="shared" si="18"/>
        <v>0</v>
      </c>
      <c r="I431" s="181"/>
      <c r="J431" s="182"/>
    </row>
    <row r="432" spans="1:10" ht="33.75" customHeight="1">
      <c r="A432" s="177">
        <v>3</v>
      </c>
      <c r="B432" s="178" t="s">
        <v>221</v>
      </c>
      <c r="C432" s="181" t="s">
        <v>45</v>
      </c>
      <c r="D432" s="201">
        <f>5000</f>
        <v>5000</v>
      </c>
      <c r="E432" s="192"/>
      <c r="F432" s="209">
        <f t="shared" si="19"/>
        <v>0</v>
      </c>
      <c r="G432" s="180"/>
      <c r="H432" s="248">
        <f t="shared" si="18"/>
        <v>0</v>
      </c>
      <c r="I432" s="181"/>
      <c r="J432" s="182"/>
    </row>
    <row r="433" spans="1:10" ht="29.25" customHeight="1">
      <c r="A433" s="177">
        <v>4</v>
      </c>
      <c r="B433" s="178" t="s">
        <v>222</v>
      </c>
      <c r="C433" s="181" t="s">
        <v>218</v>
      </c>
      <c r="D433" s="181">
        <f>10</f>
        <v>10</v>
      </c>
      <c r="E433" s="192"/>
      <c r="F433" s="209">
        <f t="shared" si="19"/>
        <v>0</v>
      </c>
      <c r="G433" s="180"/>
      <c r="H433" s="248">
        <f t="shared" si="18"/>
        <v>0</v>
      </c>
      <c r="I433" s="181"/>
      <c r="J433" s="182"/>
    </row>
    <row r="434" spans="1:10" ht="32.25" customHeight="1">
      <c r="A434" s="177">
        <v>5</v>
      </c>
      <c r="B434" s="178" t="s">
        <v>223</v>
      </c>
      <c r="C434" s="181" t="s">
        <v>218</v>
      </c>
      <c r="D434" s="181">
        <f>500+100</f>
        <v>600</v>
      </c>
      <c r="E434" s="192"/>
      <c r="F434" s="209">
        <f t="shared" si="19"/>
        <v>0</v>
      </c>
      <c r="G434" s="180"/>
      <c r="H434" s="248">
        <f t="shared" si="18"/>
        <v>0</v>
      </c>
      <c r="I434" s="181"/>
      <c r="J434" s="182"/>
    </row>
    <row r="435" spans="1:10" ht="32.25" customHeight="1">
      <c r="A435" s="177">
        <v>6</v>
      </c>
      <c r="B435" s="178" t="s">
        <v>224</v>
      </c>
      <c r="C435" s="181" t="s">
        <v>218</v>
      </c>
      <c r="D435" s="181">
        <f>30</f>
        <v>30</v>
      </c>
      <c r="E435" s="192"/>
      <c r="F435" s="209">
        <f t="shared" si="19"/>
        <v>0</v>
      </c>
      <c r="G435" s="180"/>
      <c r="H435" s="248">
        <f t="shared" si="18"/>
        <v>0</v>
      </c>
      <c r="I435" s="181"/>
      <c r="J435" s="182"/>
    </row>
    <row r="436" spans="1:10" ht="33.75" customHeight="1">
      <c r="A436" s="177">
        <v>7</v>
      </c>
      <c r="B436" s="178" t="s">
        <v>225</v>
      </c>
      <c r="C436" s="181" t="s">
        <v>45</v>
      </c>
      <c r="D436" s="181">
        <f>100</f>
        <v>100</v>
      </c>
      <c r="E436" s="192"/>
      <c r="F436" s="209">
        <f t="shared" si="19"/>
        <v>0</v>
      </c>
      <c r="G436" s="180"/>
      <c r="H436" s="248">
        <f t="shared" si="18"/>
        <v>0</v>
      </c>
      <c r="I436" s="181"/>
      <c r="J436" s="182"/>
    </row>
    <row r="437" spans="1:10" ht="31.5" customHeight="1">
      <c r="A437" s="177">
        <v>8</v>
      </c>
      <c r="B437" s="178" t="s">
        <v>226</v>
      </c>
      <c r="C437" s="181" t="s">
        <v>218</v>
      </c>
      <c r="D437" s="181">
        <f>10+2+8</f>
        <v>20</v>
      </c>
      <c r="E437" s="192"/>
      <c r="F437" s="209">
        <f t="shared" si="19"/>
        <v>0</v>
      </c>
      <c r="G437" s="180"/>
      <c r="H437" s="248">
        <f t="shared" si="18"/>
        <v>0</v>
      </c>
      <c r="I437" s="181"/>
      <c r="J437" s="182"/>
    </row>
    <row r="438" spans="1:10" ht="25.5" customHeight="1">
      <c r="A438" s="177">
        <v>9</v>
      </c>
      <c r="B438" s="178" t="s">
        <v>227</v>
      </c>
      <c r="C438" s="181" t="s">
        <v>218</v>
      </c>
      <c r="D438" s="181">
        <f>100</f>
        <v>100</v>
      </c>
      <c r="E438" s="192"/>
      <c r="F438" s="209">
        <f t="shared" si="19"/>
        <v>0</v>
      </c>
      <c r="G438" s="180"/>
      <c r="H438" s="248">
        <f t="shared" si="18"/>
        <v>0</v>
      </c>
      <c r="I438" s="181"/>
      <c r="J438" s="182"/>
    </row>
    <row r="439" spans="1:10" ht="33.75" customHeight="1">
      <c r="A439" s="177">
        <v>10</v>
      </c>
      <c r="B439" s="178" t="s">
        <v>228</v>
      </c>
      <c r="C439" s="181" t="s">
        <v>218</v>
      </c>
      <c r="D439" s="181">
        <f>2000</f>
        <v>2000</v>
      </c>
      <c r="E439" s="192"/>
      <c r="F439" s="209">
        <f t="shared" si="19"/>
        <v>0</v>
      </c>
      <c r="G439" s="180"/>
      <c r="H439" s="248">
        <f t="shared" si="18"/>
        <v>0</v>
      </c>
      <c r="I439" s="181"/>
      <c r="J439" s="182"/>
    </row>
    <row r="440" spans="1:10" ht="38.25" customHeight="1">
      <c r="A440" s="177">
        <v>11</v>
      </c>
      <c r="B440" s="178" t="s">
        <v>229</v>
      </c>
      <c r="C440" s="181" t="s">
        <v>218</v>
      </c>
      <c r="D440" s="181">
        <f>10</f>
        <v>10</v>
      </c>
      <c r="E440" s="192"/>
      <c r="F440" s="209">
        <f t="shared" si="19"/>
        <v>0</v>
      </c>
      <c r="G440" s="180"/>
      <c r="H440" s="248">
        <f t="shared" si="18"/>
        <v>0</v>
      </c>
      <c r="I440" s="181"/>
      <c r="J440" s="182"/>
    </row>
    <row r="441" spans="1:10" ht="38.25" customHeight="1">
      <c r="A441" s="177">
        <v>12</v>
      </c>
      <c r="B441" s="178" t="s">
        <v>253</v>
      </c>
      <c r="C441" s="181" t="s">
        <v>218</v>
      </c>
      <c r="D441" s="181">
        <v>10</v>
      </c>
      <c r="E441" s="192"/>
      <c r="F441" s="209">
        <f t="shared" si="19"/>
        <v>0</v>
      </c>
      <c r="G441" s="180"/>
      <c r="H441" s="248">
        <f t="shared" si="18"/>
        <v>0</v>
      </c>
      <c r="I441" s="181"/>
      <c r="J441" s="182"/>
    </row>
    <row r="442" spans="1:10" ht="14.25">
      <c r="A442" s="341" t="s">
        <v>11</v>
      </c>
      <c r="B442" s="341"/>
      <c r="C442" s="341"/>
      <c r="D442" s="341"/>
      <c r="E442" s="341"/>
      <c r="F442" s="266">
        <f>SUM(F430:F441)</f>
        <v>0</v>
      </c>
      <c r="G442" s="202"/>
      <c r="H442" s="243">
        <f>SUM(H430:H441)</f>
        <v>0</v>
      </c>
      <c r="I442" s="203"/>
      <c r="J442" s="203"/>
    </row>
    <row r="443" spans="1:10" ht="14.25">
      <c r="A443" s="183"/>
      <c r="B443" s="183"/>
      <c r="C443" s="183"/>
      <c r="D443" s="183"/>
      <c r="E443" s="183"/>
      <c r="F443" s="199"/>
      <c r="G443" s="198"/>
      <c r="H443" s="198"/>
      <c r="I443" s="198"/>
      <c r="J443" s="198"/>
    </row>
    <row r="444" spans="1:10" ht="14.25">
      <c r="A444" s="183"/>
      <c r="B444" s="183"/>
      <c r="C444" s="335"/>
      <c r="D444" s="335"/>
      <c r="E444" s="335"/>
      <c r="F444" s="335"/>
      <c r="G444" s="198"/>
      <c r="H444" s="198"/>
      <c r="I444" s="217"/>
      <c r="J444" s="217"/>
    </row>
    <row r="445" spans="1:10" ht="14.25">
      <c r="A445" s="198"/>
      <c r="B445" s="183"/>
      <c r="C445" s="335"/>
      <c r="D445" s="335"/>
      <c r="E445" s="184"/>
      <c r="F445" s="183"/>
      <c r="G445" s="198"/>
      <c r="H445" s="198"/>
      <c r="I445" s="204"/>
      <c r="J445" s="204"/>
    </row>
    <row r="446" spans="1:10" ht="14.25">
      <c r="A446" s="198"/>
      <c r="B446" s="183"/>
      <c r="C446" s="186"/>
      <c r="D446" s="186"/>
      <c r="E446" s="198"/>
      <c r="F446" s="199"/>
      <c r="G446" s="198"/>
      <c r="H446" s="198"/>
      <c r="I446" s="334" t="s">
        <v>12</v>
      </c>
      <c r="J446" s="334"/>
    </row>
    <row r="447" spans="1:10" ht="14.25">
      <c r="A447" s="198"/>
      <c r="B447" s="183"/>
      <c r="C447" s="186"/>
      <c r="D447" s="186"/>
      <c r="E447" s="198"/>
      <c r="F447" s="199"/>
      <c r="G447" s="198"/>
      <c r="H447" s="198"/>
      <c r="I447" s="334" t="s">
        <v>13</v>
      </c>
      <c r="J447" s="334"/>
    </row>
    <row r="448" spans="1:10" ht="14.25">
      <c r="A448" s="338" t="s">
        <v>339</v>
      </c>
      <c r="B448" s="338"/>
      <c r="C448" s="338"/>
      <c r="D448" s="338"/>
      <c r="E448" s="338"/>
      <c r="F448" s="338"/>
      <c r="G448" s="338"/>
      <c r="H448" s="338"/>
      <c r="I448" s="338"/>
      <c r="J448" s="338"/>
    </row>
    <row r="449" spans="1:10" ht="38.25">
      <c r="A449" s="169" t="s">
        <v>0</v>
      </c>
      <c r="B449" s="28" t="s">
        <v>1</v>
      </c>
      <c r="C449" s="28" t="s">
        <v>2</v>
      </c>
      <c r="D449" s="28" t="s">
        <v>3</v>
      </c>
      <c r="E449" s="28" t="s">
        <v>4</v>
      </c>
      <c r="F449" s="28" t="s">
        <v>5</v>
      </c>
      <c r="G449" s="28" t="s">
        <v>6</v>
      </c>
      <c r="H449" s="28" t="s">
        <v>7</v>
      </c>
      <c r="I449" s="30" t="s">
        <v>8</v>
      </c>
      <c r="J449" s="28" t="s">
        <v>9</v>
      </c>
    </row>
    <row r="450" spans="1:10" ht="30" customHeight="1">
      <c r="A450" s="214">
        <v>1</v>
      </c>
      <c r="B450" s="191" t="s">
        <v>230</v>
      </c>
      <c r="C450" s="207" t="s">
        <v>208</v>
      </c>
      <c r="D450" s="208">
        <v>3</v>
      </c>
      <c r="E450" s="327"/>
      <c r="F450" s="209">
        <f>D450*E450</f>
        <v>0</v>
      </c>
      <c r="G450" s="193"/>
      <c r="H450" s="248">
        <f aca="true" t="shared" si="20" ref="H450:H461">F450+(F450*G450)</f>
        <v>0</v>
      </c>
      <c r="I450" s="210"/>
      <c r="J450" s="210"/>
    </row>
    <row r="451" spans="1:10" ht="30" customHeight="1">
      <c r="A451" s="214">
        <v>2</v>
      </c>
      <c r="B451" s="191" t="s">
        <v>231</v>
      </c>
      <c r="C451" s="207" t="s">
        <v>208</v>
      </c>
      <c r="D451" s="207">
        <v>3</v>
      </c>
      <c r="E451" s="327"/>
      <c r="F451" s="209">
        <f aca="true" t="shared" si="21" ref="F451:F461">D451*E451</f>
        <v>0</v>
      </c>
      <c r="G451" s="193"/>
      <c r="H451" s="248">
        <f t="shared" si="20"/>
        <v>0</v>
      </c>
      <c r="I451" s="210"/>
      <c r="J451" s="210"/>
    </row>
    <row r="452" spans="1:10" ht="30" customHeight="1">
      <c r="A452" s="214">
        <v>3</v>
      </c>
      <c r="B452" s="191" t="s">
        <v>232</v>
      </c>
      <c r="C452" s="207" t="s">
        <v>208</v>
      </c>
      <c r="D452" s="208">
        <v>15</v>
      </c>
      <c r="E452" s="327"/>
      <c r="F452" s="209">
        <f t="shared" si="21"/>
        <v>0</v>
      </c>
      <c r="G452" s="193"/>
      <c r="H452" s="248">
        <f t="shared" si="20"/>
        <v>0</v>
      </c>
      <c r="I452" s="210"/>
      <c r="J452" s="211"/>
    </row>
    <row r="453" spans="1:10" ht="28.5" customHeight="1">
      <c r="A453" s="214">
        <v>4</v>
      </c>
      <c r="B453" s="191" t="s">
        <v>233</v>
      </c>
      <c r="C453" s="207" t="s">
        <v>208</v>
      </c>
      <c r="D453" s="208">
        <v>15</v>
      </c>
      <c r="E453" s="327"/>
      <c r="F453" s="209">
        <f t="shared" si="21"/>
        <v>0</v>
      </c>
      <c r="G453" s="193"/>
      <c r="H453" s="248">
        <f t="shared" si="20"/>
        <v>0</v>
      </c>
      <c r="I453" s="210"/>
      <c r="J453" s="211"/>
    </row>
    <row r="454" spans="1:10" ht="30" customHeight="1">
      <c r="A454" s="214">
        <v>5</v>
      </c>
      <c r="B454" s="191" t="s">
        <v>234</v>
      </c>
      <c r="C454" s="207" t="s">
        <v>208</v>
      </c>
      <c r="D454" s="208">
        <v>2</v>
      </c>
      <c r="E454" s="327"/>
      <c r="F454" s="209">
        <f t="shared" si="21"/>
        <v>0</v>
      </c>
      <c r="G454" s="193"/>
      <c r="H454" s="248">
        <f t="shared" si="20"/>
        <v>0</v>
      </c>
      <c r="I454" s="210"/>
      <c r="J454" s="210"/>
    </row>
    <row r="455" spans="1:10" ht="33" customHeight="1">
      <c r="A455" s="214">
        <v>6</v>
      </c>
      <c r="B455" s="191" t="s">
        <v>235</v>
      </c>
      <c r="C455" s="207" t="s">
        <v>208</v>
      </c>
      <c r="D455" s="208">
        <v>5</v>
      </c>
      <c r="E455" s="327"/>
      <c r="F455" s="209">
        <f t="shared" si="21"/>
        <v>0</v>
      </c>
      <c r="G455" s="193"/>
      <c r="H455" s="248">
        <f t="shared" si="20"/>
        <v>0</v>
      </c>
      <c r="I455" s="210"/>
      <c r="J455" s="210"/>
    </row>
    <row r="456" spans="1:10" ht="37.5" customHeight="1">
      <c r="A456" s="214">
        <v>7</v>
      </c>
      <c r="B456" s="191" t="s">
        <v>236</v>
      </c>
      <c r="C456" s="207" t="s">
        <v>208</v>
      </c>
      <c r="D456" s="208">
        <v>5</v>
      </c>
      <c r="E456" s="327"/>
      <c r="F456" s="209">
        <f t="shared" si="21"/>
        <v>0</v>
      </c>
      <c r="G456" s="193"/>
      <c r="H456" s="248">
        <f t="shared" si="20"/>
        <v>0</v>
      </c>
      <c r="I456" s="210"/>
      <c r="J456" s="210"/>
    </row>
    <row r="457" spans="1:10" ht="34.5" customHeight="1">
      <c r="A457" s="214">
        <v>8</v>
      </c>
      <c r="B457" s="191" t="s">
        <v>237</v>
      </c>
      <c r="C457" s="207" t="s">
        <v>208</v>
      </c>
      <c r="D457" s="208">
        <v>2000</v>
      </c>
      <c r="E457" s="327"/>
      <c r="F457" s="209">
        <f t="shared" si="21"/>
        <v>0</v>
      </c>
      <c r="G457" s="193"/>
      <c r="H457" s="248">
        <f t="shared" si="20"/>
        <v>0</v>
      </c>
      <c r="I457" s="210"/>
      <c r="J457" s="210"/>
    </row>
    <row r="458" spans="1:10" ht="36" customHeight="1">
      <c r="A458" s="214">
        <v>9</v>
      </c>
      <c r="B458" s="191" t="s">
        <v>238</v>
      </c>
      <c r="C458" s="207" t="s">
        <v>208</v>
      </c>
      <c r="D458" s="208">
        <f>10+4</f>
        <v>14</v>
      </c>
      <c r="E458" s="327"/>
      <c r="F458" s="209">
        <f t="shared" si="21"/>
        <v>0</v>
      </c>
      <c r="G458" s="193"/>
      <c r="H458" s="248">
        <f t="shared" si="20"/>
        <v>0</v>
      </c>
      <c r="I458" s="210"/>
      <c r="J458" s="210"/>
    </row>
    <row r="459" spans="1:10" ht="33.75" customHeight="1">
      <c r="A459" s="214">
        <v>10</v>
      </c>
      <c r="B459" s="191" t="s">
        <v>239</v>
      </c>
      <c r="C459" s="207" t="s">
        <v>208</v>
      </c>
      <c r="D459" s="208">
        <v>10</v>
      </c>
      <c r="E459" s="327"/>
      <c r="F459" s="209">
        <f t="shared" si="21"/>
        <v>0</v>
      </c>
      <c r="G459" s="193"/>
      <c r="H459" s="248">
        <f t="shared" si="20"/>
        <v>0</v>
      </c>
      <c r="I459" s="210"/>
      <c r="J459" s="210"/>
    </row>
    <row r="460" spans="1:10" ht="30.75" customHeight="1">
      <c r="A460" s="214">
        <v>11</v>
      </c>
      <c r="B460" s="191" t="s">
        <v>240</v>
      </c>
      <c r="C460" s="207" t="s">
        <v>208</v>
      </c>
      <c r="D460" s="208">
        <v>5</v>
      </c>
      <c r="E460" s="327"/>
      <c r="F460" s="209">
        <f t="shared" si="21"/>
        <v>0</v>
      </c>
      <c r="G460" s="193"/>
      <c r="H460" s="248">
        <f t="shared" si="20"/>
        <v>0</v>
      </c>
      <c r="I460" s="210"/>
      <c r="J460" s="210"/>
    </row>
    <row r="461" spans="1:10" ht="35.25" customHeight="1">
      <c r="A461" s="214">
        <v>12</v>
      </c>
      <c r="B461" s="189" t="s">
        <v>251</v>
      </c>
      <c r="C461" s="207" t="s">
        <v>45</v>
      </c>
      <c r="D461" s="212">
        <v>10</v>
      </c>
      <c r="E461" s="328"/>
      <c r="F461" s="209">
        <f t="shared" si="21"/>
        <v>0</v>
      </c>
      <c r="G461" s="193"/>
      <c r="H461" s="248">
        <f t="shared" si="20"/>
        <v>0</v>
      </c>
      <c r="I461" s="213"/>
      <c r="J461" s="213"/>
    </row>
    <row r="462" spans="1:10" ht="14.25">
      <c r="A462" s="337" t="s">
        <v>11</v>
      </c>
      <c r="B462" s="337"/>
      <c r="C462" s="337"/>
      <c r="D462" s="337"/>
      <c r="E462" s="337"/>
      <c r="F462" s="215">
        <f>SUM(F450:F461)</f>
        <v>0</v>
      </c>
      <c r="G462" s="216"/>
      <c r="H462" s="243">
        <f>SUM(H450:H461)</f>
        <v>0</v>
      </c>
      <c r="I462" s="216"/>
      <c r="J462" s="216"/>
    </row>
    <row r="463" spans="1:10" ht="14.25">
      <c r="A463" s="218"/>
      <c r="B463" s="218"/>
      <c r="C463" s="218"/>
      <c r="D463" s="218"/>
      <c r="E463" s="218"/>
      <c r="F463" s="219"/>
      <c r="G463" s="218"/>
      <c r="H463" s="218"/>
      <c r="I463" s="339"/>
      <c r="J463" s="339"/>
    </row>
    <row r="464" spans="1:10" ht="14.25">
      <c r="A464" s="218"/>
      <c r="B464" s="218"/>
      <c r="C464" s="335"/>
      <c r="D464" s="335"/>
      <c r="E464" s="335"/>
      <c r="F464" s="335"/>
      <c r="G464" s="218"/>
      <c r="H464" s="218"/>
      <c r="I464" s="204"/>
      <c r="J464" s="204"/>
    </row>
    <row r="465" spans="1:10" ht="14.25">
      <c r="A465" s="218"/>
      <c r="B465" s="218"/>
      <c r="C465" s="335"/>
      <c r="D465" s="335"/>
      <c r="E465" s="184"/>
      <c r="F465" s="184"/>
      <c r="G465" s="218"/>
      <c r="H465" s="218"/>
      <c r="I465" s="204"/>
      <c r="J465" s="204"/>
    </row>
    <row r="466" spans="1:10" ht="14.25">
      <c r="A466" s="218"/>
      <c r="B466" s="218"/>
      <c r="C466" s="335"/>
      <c r="D466" s="335"/>
      <c r="E466" s="184"/>
      <c r="F466" s="183"/>
      <c r="G466" s="218"/>
      <c r="H466" s="218"/>
      <c r="I466" s="334" t="s">
        <v>12</v>
      </c>
      <c r="J466" s="334"/>
    </row>
    <row r="467" spans="1:10" ht="14.25">
      <c r="A467" s="218"/>
      <c r="B467" s="218"/>
      <c r="C467" s="218"/>
      <c r="D467" s="218"/>
      <c r="E467" s="218"/>
      <c r="F467" s="219"/>
      <c r="G467" s="218"/>
      <c r="H467" s="218"/>
      <c r="I467" s="334" t="s">
        <v>13</v>
      </c>
      <c r="J467" s="334"/>
    </row>
    <row r="468" spans="1:10" ht="14.25">
      <c r="A468" s="336" t="s">
        <v>340</v>
      </c>
      <c r="B468" s="336"/>
      <c r="C468" s="336"/>
      <c r="D468" s="336"/>
      <c r="E468" s="336"/>
      <c r="F468" s="336"/>
      <c r="G468" s="336"/>
      <c r="H468" s="336"/>
      <c r="I468" s="336"/>
      <c r="J468" s="336"/>
    </row>
    <row r="469" spans="1:10" ht="38.25">
      <c r="A469" s="169" t="s">
        <v>0</v>
      </c>
      <c r="B469" s="28" t="s">
        <v>1</v>
      </c>
      <c r="C469" s="28" t="s">
        <v>2</v>
      </c>
      <c r="D469" s="28" t="s">
        <v>3</v>
      </c>
      <c r="E469" s="28" t="s">
        <v>4</v>
      </c>
      <c r="F469" s="28" t="s">
        <v>5</v>
      </c>
      <c r="G469" s="28" t="s">
        <v>6</v>
      </c>
      <c r="H469" s="28" t="s">
        <v>7</v>
      </c>
      <c r="I469" s="30" t="s">
        <v>8</v>
      </c>
      <c r="J469" s="28" t="s">
        <v>9</v>
      </c>
    </row>
    <row r="470" spans="1:10" ht="44.25" customHeight="1">
      <c r="A470" s="205">
        <v>1</v>
      </c>
      <c r="B470" s="206" t="s">
        <v>241</v>
      </c>
      <c r="C470" s="207" t="s">
        <v>208</v>
      </c>
      <c r="D470" s="208">
        <f>350+30</f>
        <v>380</v>
      </c>
      <c r="E470" s="327"/>
      <c r="F470" s="209">
        <f aca="true" t="shared" si="22" ref="F470:F475">D470*E470</f>
        <v>0</v>
      </c>
      <c r="G470" s="193"/>
      <c r="H470" s="248">
        <f aca="true" t="shared" si="23" ref="H470:H475">F470+(F470*G470)</f>
        <v>0</v>
      </c>
      <c r="I470" s="210"/>
      <c r="J470" s="211"/>
    </row>
    <row r="471" spans="1:10" ht="57.75" customHeight="1">
      <c r="A471" s="205">
        <v>2</v>
      </c>
      <c r="B471" s="206" t="s">
        <v>242</v>
      </c>
      <c r="C471" s="207" t="s">
        <v>208</v>
      </c>
      <c r="D471" s="208">
        <v>150</v>
      </c>
      <c r="E471" s="327"/>
      <c r="F471" s="209">
        <f t="shared" si="22"/>
        <v>0</v>
      </c>
      <c r="G471" s="193"/>
      <c r="H471" s="248">
        <f t="shared" si="23"/>
        <v>0</v>
      </c>
      <c r="I471" s="210"/>
      <c r="J471" s="211"/>
    </row>
    <row r="472" spans="1:10" ht="57.75" customHeight="1">
      <c r="A472" s="205">
        <v>3</v>
      </c>
      <c r="B472" s="206" t="s">
        <v>243</v>
      </c>
      <c r="C472" s="207" t="s">
        <v>208</v>
      </c>
      <c r="D472" s="208">
        <v>2500</v>
      </c>
      <c r="E472" s="327"/>
      <c r="F472" s="209">
        <f t="shared" si="22"/>
        <v>0</v>
      </c>
      <c r="G472" s="193"/>
      <c r="H472" s="248">
        <f t="shared" si="23"/>
        <v>0</v>
      </c>
      <c r="I472" s="210"/>
      <c r="J472" s="211"/>
    </row>
    <row r="473" spans="1:10" ht="30" customHeight="1">
      <c r="A473" s="205">
        <v>4</v>
      </c>
      <c r="B473" s="206" t="s">
        <v>244</v>
      </c>
      <c r="C473" s="207" t="s">
        <v>208</v>
      </c>
      <c r="D473" s="208">
        <v>1</v>
      </c>
      <c r="E473" s="327"/>
      <c r="F473" s="209">
        <f t="shared" si="22"/>
        <v>0</v>
      </c>
      <c r="G473" s="193"/>
      <c r="H473" s="248">
        <f t="shared" si="23"/>
        <v>0</v>
      </c>
      <c r="I473" s="210"/>
      <c r="J473" s="211"/>
    </row>
    <row r="474" spans="1:10" ht="30" customHeight="1">
      <c r="A474" s="205">
        <v>5</v>
      </c>
      <c r="B474" s="206" t="s">
        <v>245</v>
      </c>
      <c r="C474" s="207" t="s">
        <v>208</v>
      </c>
      <c r="D474" s="208">
        <v>10</v>
      </c>
      <c r="E474" s="327"/>
      <c r="F474" s="209">
        <f t="shared" si="22"/>
        <v>0</v>
      </c>
      <c r="G474" s="193"/>
      <c r="H474" s="248">
        <f t="shared" si="23"/>
        <v>0</v>
      </c>
      <c r="I474" s="210"/>
      <c r="J474" s="211"/>
    </row>
    <row r="475" spans="1:10" ht="30" customHeight="1">
      <c r="A475" s="205">
        <v>6</v>
      </c>
      <c r="B475" s="93" t="s">
        <v>246</v>
      </c>
      <c r="C475" s="207" t="s">
        <v>208</v>
      </c>
      <c r="D475" s="220">
        <v>1000</v>
      </c>
      <c r="E475" s="327"/>
      <c r="F475" s="209">
        <f t="shared" si="22"/>
        <v>0</v>
      </c>
      <c r="G475" s="193"/>
      <c r="H475" s="248">
        <f t="shared" si="23"/>
        <v>0</v>
      </c>
      <c r="I475" s="210"/>
      <c r="J475" s="211"/>
    </row>
    <row r="476" spans="1:10" ht="14.25">
      <c r="A476" s="337" t="s">
        <v>11</v>
      </c>
      <c r="B476" s="337"/>
      <c r="C476" s="337"/>
      <c r="D476" s="337"/>
      <c r="E476" s="337"/>
      <c r="F476" s="243">
        <f>SUM(F470:F475)</f>
        <v>0</v>
      </c>
      <c r="G476" s="216"/>
      <c r="H476" s="243">
        <f>SUM(H470:H475)</f>
        <v>0</v>
      </c>
      <c r="I476" s="216"/>
      <c r="J476" s="216"/>
    </row>
    <row r="477" spans="1:10" ht="14.25">
      <c r="A477" s="222"/>
      <c r="B477" s="217"/>
      <c r="C477" s="217"/>
      <c r="D477" s="217"/>
      <c r="E477" s="217"/>
      <c r="F477" s="221"/>
      <c r="G477" s="217"/>
      <c r="H477" s="217"/>
      <c r="I477" s="217"/>
      <c r="J477" s="217"/>
    </row>
    <row r="478" spans="1:10" ht="14.25">
      <c r="A478" s="222"/>
      <c r="B478" s="217"/>
      <c r="C478" s="335"/>
      <c r="D478" s="335"/>
      <c r="E478" s="335"/>
      <c r="F478" s="335"/>
      <c r="G478" s="217"/>
      <c r="H478" s="217"/>
      <c r="I478" s="217"/>
      <c r="J478" s="217"/>
    </row>
    <row r="479" spans="1:10" ht="14.25">
      <c r="A479" s="222"/>
      <c r="B479" s="217"/>
      <c r="C479" s="335"/>
      <c r="D479" s="335"/>
      <c r="E479" s="184"/>
      <c r="F479" s="184"/>
      <c r="G479" s="217"/>
      <c r="H479" s="217"/>
      <c r="I479" s="217"/>
      <c r="J479" s="217"/>
    </row>
    <row r="480" spans="1:10" ht="14.25">
      <c r="A480" s="222"/>
      <c r="B480" s="217"/>
      <c r="C480" s="335"/>
      <c r="D480" s="335"/>
      <c r="E480" s="184"/>
      <c r="F480" s="183"/>
      <c r="G480" s="217"/>
      <c r="H480" s="217"/>
      <c r="I480" s="334" t="s">
        <v>12</v>
      </c>
      <c r="J480" s="334"/>
    </row>
    <row r="481" spans="1:10" ht="14.25">
      <c r="A481" s="222"/>
      <c r="B481" s="217"/>
      <c r="C481" s="217"/>
      <c r="D481" s="217"/>
      <c r="E481" s="217"/>
      <c r="F481" s="221"/>
      <c r="G481" s="217"/>
      <c r="H481" s="217"/>
      <c r="I481" s="334" t="s">
        <v>13</v>
      </c>
      <c r="J481" s="334"/>
    </row>
    <row r="482" spans="1:10" ht="15">
      <c r="A482" s="66" t="s">
        <v>341</v>
      </c>
      <c r="B482" s="67"/>
      <c r="C482" s="67"/>
      <c r="D482" s="67"/>
      <c r="E482" s="67"/>
      <c r="F482" s="67"/>
      <c r="G482" s="67"/>
      <c r="H482" s="67"/>
      <c r="I482" s="67"/>
      <c r="J482" s="67"/>
    </row>
    <row r="483" spans="1:10" ht="38.25">
      <c r="A483" s="44" t="s">
        <v>0</v>
      </c>
      <c r="B483" s="44" t="s">
        <v>1</v>
      </c>
      <c r="C483" s="44" t="s">
        <v>2</v>
      </c>
      <c r="D483" s="44" t="s">
        <v>3</v>
      </c>
      <c r="E483" s="44" t="s">
        <v>4</v>
      </c>
      <c r="F483" s="44" t="s">
        <v>5</v>
      </c>
      <c r="G483" s="44" t="s">
        <v>6</v>
      </c>
      <c r="H483" s="44" t="s">
        <v>7</v>
      </c>
      <c r="I483" s="45" t="s">
        <v>8</v>
      </c>
      <c r="J483" s="44" t="s">
        <v>9</v>
      </c>
    </row>
    <row r="484" spans="1:10" ht="38.25">
      <c r="A484" s="71">
        <v>1</v>
      </c>
      <c r="B484" s="225" t="s">
        <v>247</v>
      </c>
      <c r="C484" s="48" t="s">
        <v>208</v>
      </c>
      <c r="D484" s="48">
        <f>10</f>
        <v>10</v>
      </c>
      <c r="E484" s="248"/>
      <c r="F484" s="248">
        <f>D484*E484</f>
        <v>0</v>
      </c>
      <c r="G484" s="148"/>
      <c r="H484" s="248">
        <f>F484+(F484*G484)</f>
        <v>0</v>
      </c>
      <c r="I484" s="48"/>
      <c r="J484" s="48"/>
    </row>
    <row r="485" spans="1:10" ht="14.25">
      <c r="A485" s="287">
        <v>2</v>
      </c>
      <c r="B485" s="289" t="s">
        <v>289</v>
      </c>
      <c r="C485" s="48" t="s">
        <v>208</v>
      </c>
      <c r="D485" s="48">
        <v>500</v>
      </c>
      <c r="E485" s="248"/>
      <c r="F485" s="248">
        <f>D485*E485</f>
        <v>0</v>
      </c>
      <c r="G485" s="148"/>
      <c r="H485" s="248">
        <f>F485+(F485*G485)</f>
        <v>0</v>
      </c>
      <c r="I485" s="48"/>
      <c r="J485" s="48"/>
    </row>
    <row r="486" spans="1:10" ht="14.25">
      <c r="A486" s="223"/>
      <c r="B486" s="288" t="s">
        <v>11</v>
      </c>
      <c r="C486" s="223"/>
      <c r="D486" s="223"/>
      <c r="E486" s="223"/>
      <c r="F486" s="239">
        <f>SUM(F484:F485)</f>
        <v>0</v>
      </c>
      <c r="G486" s="224"/>
      <c r="H486" s="239">
        <f>SUM(H484:H485)</f>
        <v>0</v>
      </c>
      <c r="I486" s="223"/>
      <c r="J486" s="72"/>
    </row>
    <row r="487" spans="1:10" ht="15">
      <c r="A487" s="51"/>
      <c r="B487" s="51"/>
      <c r="C487" s="51"/>
      <c r="D487" s="51"/>
      <c r="E487" s="51"/>
      <c r="F487" s="51"/>
      <c r="G487" s="51"/>
      <c r="H487" s="51"/>
      <c r="I487" s="51"/>
      <c r="J487" s="51"/>
    </row>
    <row r="488" spans="1:10" ht="15">
      <c r="A488" s="51"/>
      <c r="B488" s="51"/>
      <c r="C488" s="51"/>
      <c r="D488" s="51"/>
      <c r="E488" s="51"/>
      <c r="F488" s="51"/>
      <c r="G488" s="51"/>
      <c r="H488" s="51"/>
      <c r="I488" s="51"/>
      <c r="J488" s="51"/>
    </row>
    <row r="489" spans="1:10" ht="15">
      <c r="A489" s="67"/>
      <c r="B489" s="67"/>
      <c r="C489" s="67"/>
      <c r="D489" s="67"/>
      <c r="E489" s="67"/>
      <c r="F489" s="67"/>
      <c r="G489" s="67"/>
      <c r="H489" s="67"/>
      <c r="I489" s="331" t="s">
        <v>12</v>
      </c>
      <c r="J489" s="331"/>
    </row>
    <row r="490" spans="1:10" ht="15">
      <c r="A490" s="67"/>
      <c r="B490" s="67"/>
      <c r="C490" s="67"/>
      <c r="D490" s="67"/>
      <c r="E490" s="67"/>
      <c r="F490" s="67"/>
      <c r="G490" s="67"/>
      <c r="H490" s="67"/>
      <c r="I490" s="331" t="s">
        <v>13</v>
      </c>
      <c r="J490" s="331"/>
    </row>
    <row r="491" spans="1:10" ht="15">
      <c r="A491" s="66" t="s">
        <v>342</v>
      </c>
      <c r="B491" s="88"/>
      <c r="C491" s="155"/>
      <c r="D491" s="156"/>
      <c r="E491" s="156"/>
      <c r="F491" s="156"/>
      <c r="G491" s="156"/>
      <c r="H491" s="156"/>
      <c r="I491" s="156"/>
      <c r="J491" s="88"/>
    </row>
    <row r="492" spans="1:10" ht="38.25">
      <c r="A492" s="44" t="s">
        <v>0</v>
      </c>
      <c r="B492" s="44" t="s">
        <v>1</v>
      </c>
      <c r="C492" s="44" t="s">
        <v>2</v>
      </c>
      <c r="D492" s="44" t="s">
        <v>3</v>
      </c>
      <c r="E492" s="44" t="s">
        <v>4</v>
      </c>
      <c r="F492" s="44" t="s">
        <v>5</v>
      </c>
      <c r="G492" s="44" t="s">
        <v>6</v>
      </c>
      <c r="H492" s="44" t="s">
        <v>7</v>
      </c>
      <c r="I492" s="45" t="s">
        <v>8</v>
      </c>
      <c r="J492" s="44" t="s">
        <v>14</v>
      </c>
    </row>
    <row r="493" spans="1:10" ht="38.25">
      <c r="A493" s="71">
        <v>1</v>
      </c>
      <c r="B493" s="72" t="s">
        <v>248</v>
      </c>
      <c r="C493" s="48" t="s">
        <v>10</v>
      </c>
      <c r="D493" s="48">
        <v>2</v>
      </c>
      <c r="E493" s="248"/>
      <c r="F493" s="248">
        <f>D493*E493</f>
        <v>0</v>
      </c>
      <c r="G493" s="148"/>
      <c r="H493" s="248">
        <f>F493+(F493*G493)</f>
        <v>0</v>
      </c>
      <c r="I493" s="48"/>
      <c r="J493" s="48"/>
    </row>
    <row r="494" spans="1:10" ht="38.25">
      <c r="A494" s="71">
        <v>2</v>
      </c>
      <c r="B494" s="72" t="s">
        <v>249</v>
      </c>
      <c r="C494" s="48" t="s">
        <v>10</v>
      </c>
      <c r="D494" s="48">
        <v>2</v>
      </c>
      <c r="E494" s="248"/>
      <c r="F494" s="248">
        <f>D494*E494</f>
        <v>0</v>
      </c>
      <c r="G494" s="148"/>
      <c r="H494" s="248">
        <f>F494+(F494*G494)</f>
        <v>0</v>
      </c>
      <c r="I494" s="48"/>
      <c r="J494" s="48"/>
    </row>
    <row r="495" spans="1:10" ht="14.25">
      <c r="A495" s="71"/>
      <c r="B495" s="46" t="s">
        <v>11</v>
      </c>
      <c r="C495" s="46"/>
      <c r="D495" s="46"/>
      <c r="E495" s="75"/>
      <c r="F495" s="239">
        <f>SUM(F493:F494)</f>
        <v>0</v>
      </c>
      <c r="G495" s="226"/>
      <c r="H495" s="239">
        <f>SUM(H493:H494)</f>
        <v>0</v>
      </c>
      <c r="I495" s="46"/>
      <c r="J495" s="46"/>
    </row>
    <row r="496" spans="1:10" ht="14.25">
      <c r="A496" s="227"/>
      <c r="B496" s="228"/>
      <c r="C496" s="228"/>
      <c r="D496" s="228"/>
      <c r="E496" s="228"/>
      <c r="F496" s="229"/>
      <c r="G496" s="230"/>
      <c r="H496" s="228"/>
      <c r="I496" s="228"/>
      <c r="J496" s="228"/>
    </row>
    <row r="497" spans="1:10" ht="14.25">
      <c r="A497" s="227"/>
      <c r="B497" s="228"/>
      <c r="C497" s="228"/>
      <c r="D497" s="228"/>
      <c r="E497" s="228"/>
      <c r="F497" s="229"/>
      <c r="G497" s="230"/>
      <c r="H497" s="228"/>
      <c r="I497" s="228"/>
      <c r="J497" s="228"/>
    </row>
    <row r="498" spans="1:10" ht="14.25">
      <c r="A498" s="227"/>
      <c r="B498" s="228"/>
      <c r="C498" s="228"/>
      <c r="D498" s="228"/>
      <c r="E498" s="228"/>
      <c r="F498" s="229"/>
      <c r="G498" s="230"/>
      <c r="H498" s="228"/>
      <c r="I498" s="331" t="s">
        <v>12</v>
      </c>
      <c r="J498" s="331"/>
    </row>
    <row r="499" spans="1:10" ht="15" customHeight="1">
      <c r="A499" s="227"/>
      <c r="B499" s="228"/>
      <c r="C499" s="228"/>
      <c r="D499" s="228"/>
      <c r="E499" s="228"/>
      <c r="F499" s="229"/>
      <c r="G499" s="230"/>
      <c r="H499" s="228"/>
      <c r="I499" s="331" t="s">
        <v>13</v>
      </c>
      <c r="J499" s="331"/>
    </row>
    <row r="500" spans="1:10" ht="15">
      <c r="A500" s="66" t="s">
        <v>343</v>
      </c>
      <c r="B500" s="88"/>
      <c r="C500" s="155"/>
      <c r="D500" s="156"/>
      <c r="E500" s="156"/>
      <c r="F500" s="156"/>
      <c r="G500" s="156"/>
      <c r="H500" s="156"/>
      <c r="I500" s="156"/>
      <c r="J500" s="88"/>
    </row>
    <row r="501" spans="1:10" ht="38.25">
      <c r="A501" s="44" t="s">
        <v>0</v>
      </c>
      <c r="B501" s="44" t="s">
        <v>1</v>
      </c>
      <c r="C501" s="44" t="s">
        <v>2</v>
      </c>
      <c r="D501" s="44" t="s">
        <v>3</v>
      </c>
      <c r="E501" s="44" t="s">
        <v>4</v>
      </c>
      <c r="F501" s="44" t="s">
        <v>5</v>
      </c>
      <c r="G501" s="44" t="s">
        <v>6</v>
      </c>
      <c r="H501" s="44" t="s">
        <v>7</v>
      </c>
      <c r="I501" s="45" t="s">
        <v>8</v>
      </c>
      <c r="J501" s="44" t="s">
        <v>14</v>
      </c>
    </row>
    <row r="502" spans="1:10" ht="38.25">
      <c r="A502" s="71">
        <v>1</v>
      </c>
      <c r="B502" s="72" t="s">
        <v>263</v>
      </c>
      <c r="C502" s="48" t="s">
        <v>10</v>
      </c>
      <c r="D502" s="48">
        <v>120</v>
      </c>
      <c r="E502" s="248"/>
      <c r="F502" s="248">
        <f>D502*E502</f>
        <v>0</v>
      </c>
      <c r="G502" s="148"/>
      <c r="H502" s="248">
        <f>F502+(F502*G502)</f>
        <v>0</v>
      </c>
      <c r="I502" s="48"/>
      <c r="J502" s="48"/>
    </row>
    <row r="503" spans="1:10" ht="25.5">
      <c r="A503" s="71">
        <v>2</v>
      </c>
      <c r="B503" s="72" t="s">
        <v>262</v>
      </c>
      <c r="C503" s="48" t="s">
        <v>10</v>
      </c>
      <c r="D503" s="48">
        <v>2</v>
      </c>
      <c r="E503" s="248"/>
      <c r="F503" s="248">
        <f>D503*E503</f>
        <v>0</v>
      </c>
      <c r="G503" s="148"/>
      <c r="H503" s="248">
        <f>F503+(F503*G503)</f>
        <v>0</v>
      </c>
      <c r="I503" s="48"/>
      <c r="J503" s="48"/>
    </row>
    <row r="504" spans="1:10" ht="25.5">
      <c r="A504" s="71">
        <v>3</v>
      </c>
      <c r="B504" s="72" t="s">
        <v>264</v>
      </c>
      <c r="C504" s="48" t="s">
        <v>10</v>
      </c>
      <c r="D504" s="48">
        <v>4</v>
      </c>
      <c r="E504" s="248"/>
      <c r="F504" s="248">
        <f>D504*E504</f>
        <v>0</v>
      </c>
      <c r="G504" s="148"/>
      <c r="H504" s="248">
        <f>F504+(F504*G504)</f>
        <v>0</v>
      </c>
      <c r="I504" s="48"/>
      <c r="J504" s="48"/>
    </row>
    <row r="505" spans="1:10" ht="25.5">
      <c r="A505" s="71">
        <v>4</v>
      </c>
      <c r="B505" s="72" t="s">
        <v>265</v>
      </c>
      <c r="C505" s="48" t="s">
        <v>10</v>
      </c>
      <c r="D505" s="48">
        <v>1</v>
      </c>
      <c r="E505" s="248"/>
      <c r="F505" s="248">
        <f>D505*E505</f>
        <v>0</v>
      </c>
      <c r="G505" s="148"/>
      <c r="H505" s="248">
        <f>F505+(F505*G505)</f>
        <v>0</v>
      </c>
      <c r="I505" s="48"/>
      <c r="J505" s="48"/>
    </row>
    <row r="506" spans="1:10" ht="14.25">
      <c r="A506" s="71"/>
      <c r="B506" s="46" t="s">
        <v>11</v>
      </c>
      <c r="C506" s="46"/>
      <c r="D506" s="46"/>
      <c r="E506" s="75"/>
      <c r="F506" s="239">
        <f>SUM(F502:F505)</f>
        <v>0</v>
      </c>
      <c r="G506" s="226"/>
      <c r="H506" s="239">
        <f>SUM(H502:H505)</f>
        <v>0</v>
      </c>
      <c r="I506" s="46"/>
      <c r="J506" s="46"/>
    </row>
    <row r="507" spans="1:10" ht="14.25">
      <c r="A507" s="227"/>
      <c r="B507" s="228"/>
      <c r="C507" s="228"/>
      <c r="D507" s="228"/>
      <c r="E507" s="228"/>
      <c r="F507" s="229"/>
      <c r="G507" s="230"/>
      <c r="H507" s="228"/>
      <c r="I507" s="228"/>
      <c r="J507" s="228"/>
    </row>
    <row r="508" spans="1:10" ht="14.25">
      <c r="A508" s="227"/>
      <c r="B508" s="228"/>
      <c r="C508" s="228"/>
      <c r="D508" s="228"/>
      <c r="E508" s="228"/>
      <c r="F508" s="229"/>
      <c r="G508" s="230"/>
      <c r="H508" s="228"/>
      <c r="I508" s="228"/>
      <c r="J508" s="228"/>
    </row>
    <row r="509" spans="1:10" ht="14.25">
      <c r="A509" s="227"/>
      <c r="B509" s="228"/>
      <c r="C509" s="228"/>
      <c r="D509" s="228"/>
      <c r="E509" s="228"/>
      <c r="F509" s="229"/>
      <c r="G509" s="230"/>
      <c r="H509" s="228"/>
      <c r="I509" s="331" t="s">
        <v>12</v>
      </c>
      <c r="J509" s="331"/>
    </row>
    <row r="510" spans="1:10" ht="14.25">
      <c r="A510" s="227"/>
      <c r="B510" s="228"/>
      <c r="C510" s="228"/>
      <c r="D510" s="228"/>
      <c r="E510" s="228"/>
      <c r="F510" s="229"/>
      <c r="G510" s="230"/>
      <c r="H510" s="228"/>
      <c r="I510" s="331" t="s">
        <v>13</v>
      </c>
      <c r="J510" s="331"/>
    </row>
    <row r="511" spans="1:10" ht="15">
      <c r="A511" s="333" t="s">
        <v>344</v>
      </c>
      <c r="B511" s="333"/>
      <c r="C511" s="228"/>
      <c r="D511" s="228"/>
      <c r="E511" s="228"/>
      <c r="F511" s="229"/>
      <c r="G511" s="230"/>
      <c r="H511" s="228"/>
      <c r="I511" s="52"/>
      <c r="J511" s="52"/>
    </row>
    <row r="512" spans="1:10" ht="38.25">
      <c r="A512" s="44" t="s">
        <v>0</v>
      </c>
      <c r="B512" s="44" t="s">
        <v>1</v>
      </c>
      <c r="C512" s="44" t="s">
        <v>2</v>
      </c>
      <c r="D512" s="44" t="s">
        <v>3</v>
      </c>
      <c r="E512" s="44" t="s">
        <v>4</v>
      </c>
      <c r="F512" s="44" t="s">
        <v>5</v>
      </c>
      <c r="G512" s="44" t="s">
        <v>6</v>
      </c>
      <c r="H512" s="44" t="s">
        <v>7</v>
      </c>
      <c r="I512" s="45" t="s">
        <v>8</v>
      </c>
      <c r="J512" s="44" t="s">
        <v>14</v>
      </c>
    </row>
    <row r="513" spans="1:10" ht="38.25">
      <c r="A513" s="71">
        <v>1</v>
      </c>
      <c r="B513" s="72" t="s">
        <v>266</v>
      </c>
      <c r="C513" s="48" t="s">
        <v>10</v>
      </c>
      <c r="D513" s="48">
        <v>100</v>
      </c>
      <c r="E513" s="248"/>
      <c r="F513" s="248">
        <f>D513*E513</f>
        <v>0</v>
      </c>
      <c r="G513" s="148"/>
      <c r="H513" s="248">
        <f>F513+(F513*G513)</f>
        <v>0</v>
      </c>
      <c r="I513" s="48"/>
      <c r="J513" s="48"/>
    </row>
    <row r="514" spans="1:10" ht="25.5">
      <c r="A514" s="71">
        <v>2</v>
      </c>
      <c r="B514" s="72" t="s">
        <v>267</v>
      </c>
      <c r="C514" s="48" t="s">
        <v>10</v>
      </c>
      <c r="D514" s="48">
        <v>2</v>
      </c>
      <c r="E514" s="248"/>
      <c r="F514" s="248">
        <f>D514*E514</f>
        <v>0</v>
      </c>
      <c r="G514" s="148"/>
      <c r="H514" s="248">
        <f>F514+(F514*G514)</f>
        <v>0</v>
      </c>
      <c r="I514" s="48"/>
      <c r="J514" s="48"/>
    </row>
    <row r="515" spans="1:10" ht="25.5">
      <c r="A515" s="71">
        <v>3</v>
      </c>
      <c r="B515" s="72" t="s">
        <v>268</v>
      </c>
      <c r="C515" s="48" t="s">
        <v>10</v>
      </c>
      <c r="D515" s="48">
        <v>6</v>
      </c>
      <c r="E515" s="248"/>
      <c r="F515" s="248">
        <f>D515*E515</f>
        <v>0</v>
      </c>
      <c r="G515" s="148"/>
      <c r="H515" s="248">
        <f>F515+(F515*G515)</f>
        <v>0</v>
      </c>
      <c r="I515" s="48"/>
      <c r="J515" s="48"/>
    </row>
    <row r="516" spans="1:10" ht="14.25">
      <c r="A516" s="71"/>
      <c r="B516" s="46" t="s">
        <v>11</v>
      </c>
      <c r="C516" s="46"/>
      <c r="D516" s="46"/>
      <c r="E516" s="75"/>
      <c r="F516" s="239">
        <f>SUM(F513:F515)</f>
        <v>0</v>
      </c>
      <c r="G516" s="226"/>
      <c r="H516" s="239">
        <f>SUM(H513:H515)</f>
        <v>0</v>
      </c>
      <c r="I516" s="46"/>
      <c r="J516" s="46"/>
    </row>
    <row r="517" spans="1:10" ht="14.25">
      <c r="A517" s="227"/>
      <c r="B517" s="228"/>
      <c r="C517" s="228"/>
      <c r="D517" s="228"/>
      <c r="E517" s="228"/>
      <c r="F517" s="229"/>
      <c r="G517" s="230"/>
      <c r="H517" s="228"/>
      <c r="I517" s="228"/>
      <c r="J517" s="228"/>
    </row>
    <row r="518" spans="1:10" ht="14.25">
      <c r="A518" s="227"/>
      <c r="B518" s="228"/>
      <c r="C518" s="228"/>
      <c r="D518" s="228"/>
      <c r="E518" s="228"/>
      <c r="F518" s="229"/>
      <c r="G518" s="230"/>
      <c r="H518" s="228"/>
      <c r="I518" s="228"/>
      <c r="J518" s="228"/>
    </row>
    <row r="519" spans="1:10" ht="14.25">
      <c r="A519" s="227"/>
      <c r="B519" s="228"/>
      <c r="C519" s="228"/>
      <c r="D519" s="228"/>
      <c r="E519" s="228"/>
      <c r="F519" s="229"/>
      <c r="G519" s="230"/>
      <c r="H519" s="228"/>
      <c r="I519" s="331" t="s">
        <v>12</v>
      </c>
      <c r="J519" s="331"/>
    </row>
    <row r="520" spans="1:10" ht="14.25">
      <c r="A520" s="227"/>
      <c r="B520" s="228"/>
      <c r="C520" s="228"/>
      <c r="D520" s="228"/>
      <c r="E520" s="228"/>
      <c r="F520" s="229"/>
      <c r="G520" s="230"/>
      <c r="H520" s="228"/>
      <c r="I520" s="331" t="s">
        <v>13</v>
      </c>
      <c r="J520" s="331"/>
    </row>
    <row r="521" spans="1:10" ht="15">
      <c r="A521" s="66" t="s">
        <v>345</v>
      </c>
      <c r="B521" s="88"/>
      <c r="C521" s="155"/>
      <c r="D521" s="156"/>
      <c r="E521" s="156"/>
      <c r="F521" s="156"/>
      <c r="G521" s="156"/>
      <c r="H521" s="156"/>
      <c r="I521" s="156"/>
      <c r="J521" s="88"/>
    </row>
    <row r="522" spans="1:10" ht="38.25">
      <c r="A522" s="44" t="s">
        <v>0</v>
      </c>
      <c r="B522" s="44" t="s">
        <v>1</v>
      </c>
      <c r="C522" s="44" t="s">
        <v>2</v>
      </c>
      <c r="D522" s="44" t="s">
        <v>3</v>
      </c>
      <c r="E522" s="44" t="s">
        <v>4</v>
      </c>
      <c r="F522" s="44" t="s">
        <v>5</v>
      </c>
      <c r="G522" s="44" t="s">
        <v>6</v>
      </c>
      <c r="H522" s="44" t="s">
        <v>7</v>
      </c>
      <c r="I522" s="45" t="s">
        <v>8</v>
      </c>
      <c r="J522" s="44" t="s">
        <v>14</v>
      </c>
    </row>
    <row r="523" spans="1:10" ht="38.25">
      <c r="A523" s="71">
        <v>1</v>
      </c>
      <c r="B523" s="72" t="s">
        <v>250</v>
      </c>
      <c r="C523" s="48" t="s">
        <v>10</v>
      </c>
      <c r="D523" s="48">
        <f>100+10+50</f>
        <v>160</v>
      </c>
      <c r="E523" s="248"/>
      <c r="F523" s="248">
        <f>D523*E523</f>
        <v>0</v>
      </c>
      <c r="G523" s="148">
        <v>0.08</v>
      </c>
      <c r="H523" s="248">
        <f>F523+(F523*G523)</f>
        <v>0</v>
      </c>
      <c r="I523" s="48"/>
      <c r="J523" s="48"/>
    </row>
    <row r="524" spans="1:10" ht="14.25">
      <c r="A524" s="71">
        <v>2</v>
      </c>
      <c r="B524" s="72" t="s">
        <v>254</v>
      </c>
      <c r="C524" s="48" t="s">
        <v>10</v>
      </c>
      <c r="D524" s="48">
        <v>200</v>
      </c>
      <c r="E524" s="248"/>
      <c r="F524" s="248">
        <f>D524*E524</f>
        <v>0</v>
      </c>
      <c r="G524" s="148">
        <v>0.08</v>
      </c>
      <c r="H524" s="248">
        <f>F524+(F524*G524)</f>
        <v>0</v>
      </c>
      <c r="I524" s="48"/>
      <c r="J524" s="48"/>
    </row>
    <row r="525" spans="1:10" ht="14.25">
      <c r="A525" s="71"/>
      <c r="B525" s="46" t="s">
        <v>11</v>
      </c>
      <c r="C525" s="46"/>
      <c r="D525" s="46"/>
      <c r="E525" s="75"/>
      <c r="F525" s="239">
        <f>SUM(F523:F524)</f>
        <v>0</v>
      </c>
      <c r="G525" s="226"/>
      <c r="H525" s="239">
        <f>SUM(H523:H524)</f>
        <v>0</v>
      </c>
      <c r="I525" s="46"/>
      <c r="J525" s="46"/>
    </row>
    <row r="526" spans="1:10" ht="14.25">
      <c r="A526" s="227"/>
      <c r="B526" s="228"/>
      <c r="C526" s="228"/>
      <c r="D526" s="228"/>
      <c r="E526" s="228"/>
      <c r="F526" s="229"/>
      <c r="G526" s="230"/>
      <c r="H526" s="228"/>
      <c r="I526" s="228"/>
      <c r="J526" s="228"/>
    </row>
    <row r="527" spans="1:10" ht="14.25">
      <c r="A527" s="227"/>
      <c r="B527" s="228"/>
      <c r="C527" s="228"/>
      <c r="D527" s="228"/>
      <c r="E527" s="228"/>
      <c r="F527" s="229"/>
      <c r="G527" s="230"/>
      <c r="H527" s="228"/>
      <c r="I527" s="228"/>
      <c r="J527" s="228"/>
    </row>
    <row r="528" spans="1:10" ht="14.25">
      <c r="A528" s="227"/>
      <c r="B528" s="228"/>
      <c r="C528" s="228"/>
      <c r="D528" s="228"/>
      <c r="E528" s="228"/>
      <c r="F528" s="229"/>
      <c r="G528" s="230"/>
      <c r="H528" s="228"/>
      <c r="I528" s="331" t="s">
        <v>12</v>
      </c>
      <c r="J528" s="331"/>
    </row>
    <row r="529" spans="1:10" ht="14.25">
      <c r="A529" s="227"/>
      <c r="B529" s="228"/>
      <c r="C529" s="228"/>
      <c r="D529" s="228"/>
      <c r="E529" s="228"/>
      <c r="F529" s="229"/>
      <c r="G529" s="230"/>
      <c r="H529" s="228"/>
      <c r="I529" s="331" t="s">
        <v>13</v>
      </c>
      <c r="J529" s="331"/>
    </row>
    <row r="530" spans="1:10" ht="15">
      <c r="A530" s="332" t="s">
        <v>346</v>
      </c>
      <c r="B530" s="332"/>
      <c r="C530" s="332"/>
      <c r="D530" s="332"/>
      <c r="E530" s="332"/>
      <c r="F530" s="332"/>
      <c r="G530" s="332"/>
      <c r="H530" s="332"/>
      <c r="I530" s="332"/>
      <c r="J530" s="332"/>
    </row>
    <row r="531" spans="1:10" ht="35.25" customHeight="1">
      <c r="A531" s="255" t="s">
        <v>0</v>
      </c>
      <c r="B531" s="255" t="s">
        <v>1</v>
      </c>
      <c r="C531" s="255" t="s">
        <v>2</v>
      </c>
      <c r="D531" s="255" t="s">
        <v>3</v>
      </c>
      <c r="E531" s="255" t="s">
        <v>4</v>
      </c>
      <c r="F531" s="256" t="s">
        <v>5</v>
      </c>
      <c r="G531" s="257" t="s">
        <v>6</v>
      </c>
      <c r="H531" s="255" t="s">
        <v>7</v>
      </c>
      <c r="I531" s="255" t="s">
        <v>8</v>
      </c>
      <c r="J531" s="255" t="s">
        <v>14</v>
      </c>
    </row>
    <row r="532" spans="1:10" ht="14.25">
      <c r="A532" s="231">
        <v>1</v>
      </c>
      <c r="B532" s="258" t="s">
        <v>257</v>
      </c>
      <c r="C532" s="235" t="s">
        <v>10</v>
      </c>
      <c r="D532" s="235">
        <v>30</v>
      </c>
      <c r="E532" s="235"/>
      <c r="F532" s="263">
        <f>D532*E532</f>
        <v>0</v>
      </c>
      <c r="G532" s="259"/>
      <c r="H532" s="248">
        <f>F532+(F532*G532)</f>
        <v>0</v>
      </c>
      <c r="I532" s="235"/>
      <c r="J532" s="235"/>
    </row>
    <row r="533" spans="1:10" ht="25.5">
      <c r="A533" s="231">
        <v>2</v>
      </c>
      <c r="B533" s="260" t="s">
        <v>258</v>
      </c>
      <c r="C533" s="235" t="s">
        <v>209</v>
      </c>
      <c r="D533" s="235">
        <v>20</v>
      </c>
      <c r="E533" s="235"/>
      <c r="F533" s="263">
        <f>D533*E533</f>
        <v>0</v>
      </c>
      <c r="G533" s="259"/>
      <c r="H533" s="248">
        <f>F533+(F533*G533)</f>
        <v>0</v>
      </c>
      <c r="I533" s="235"/>
      <c r="J533" s="235"/>
    </row>
    <row r="534" spans="1:10" ht="25.5">
      <c r="A534" s="231">
        <v>3</v>
      </c>
      <c r="B534" s="260" t="s">
        <v>261</v>
      </c>
      <c r="C534" s="235" t="s">
        <v>10</v>
      </c>
      <c r="D534" s="235">
        <v>5</v>
      </c>
      <c r="E534" s="235"/>
      <c r="F534" s="263">
        <f>D534*E534</f>
        <v>0</v>
      </c>
      <c r="G534" s="259"/>
      <c r="H534" s="248">
        <f>F534+(F534*G534)</f>
        <v>0</v>
      </c>
      <c r="I534" s="235"/>
      <c r="J534" s="235"/>
    </row>
    <row r="535" spans="1:10" ht="14.25">
      <c r="A535" s="231">
        <v>4</v>
      </c>
      <c r="B535" s="258" t="s">
        <v>260</v>
      </c>
      <c r="C535" s="235" t="s">
        <v>10</v>
      </c>
      <c r="D535" s="235">
        <v>10</v>
      </c>
      <c r="E535" s="235"/>
      <c r="F535" s="263">
        <f>D535*E535</f>
        <v>0</v>
      </c>
      <c r="G535" s="259"/>
      <c r="H535" s="248">
        <f>F535+(F535*G535)</f>
        <v>0</v>
      </c>
      <c r="I535" s="235"/>
      <c r="J535" s="235"/>
    </row>
    <row r="536" spans="1:10" ht="14.25">
      <c r="A536" s="231">
        <v>5</v>
      </c>
      <c r="B536" s="258" t="s">
        <v>259</v>
      </c>
      <c r="C536" s="235" t="s">
        <v>10</v>
      </c>
      <c r="D536" s="235">
        <v>6</v>
      </c>
      <c r="E536" s="235"/>
      <c r="F536" s="263">
        <f>D536*E536</f>
        <v>0</v>
      </c>
      <c r="G536" s="259"/>
      <c r="H536" s="248">
        <f>F536+(F536*G536)</f>
        <v>0</v>
      </c>
      <c r="I536" s="235"/>
      <c r="J536" s="235"/>
    </row>
    <row r="537" spans="1:10" ht="14.25">
      <c r="A537" s="231"/>
      <c r="B537" s="231" t="s">
        <v>11</v>
      </c>
      <c r="C537" s="231"/>
      <c r="D537" s="231"/>
      <c r="E537" s="235"/>
      <c r="F537" s="264">
        <f>SUM(F532:F536)</f>
        <v>0</v>
      </c>
      <c r="G537" s="234"/>
      <c r="H537" s="231">
        <f>SUM(H532:H536)</f>
        <v>0</v>
      </c>
      <c r="I537" s="235"/>
      <c r="J537" s="235"/>
    </row>
    <row r="538" spans="1:10" ht="14.25">
      <c r="A538" s="227"/>
      <c r="B538" s="236"/>
      <c r="C538" s="227"/>
      <c r="D538" s="227"/>
      <c r="E538" s="227"/>
      <c r="F538" s="232"/>
      <c r="G538" s="233"/>
      <c r="H538" s="227"/>
      <c r="I538" s="331" t="s">
        <v>12</v>
      </c>
      <c r="J538" s="331"/>
    </row>
    <row r="539" spans="1:10" ht="14.25">
      <c r="A539" s="227"/>
      <c r="B539" s="236"/>
      <c r="C539" s="227"/>
      <c r="D539" s="227"/>
      <c r="E539" s="227"/>
      <c r="F539" s="232"/>
      <c r="G539" s="233"/>
      <c r="H539" s="227"/>
      <c r="I539" s="331" t="s">
        <v>13</v>
      </c>
      <c r="J539" s="331"/>
    </row>
    <row r="541" spans="1:10" ht="15">
      <c r="A541" s="66" t="s">
        <v>347</v>
      </c>
      <c r="B541" s="88"/>
      <c r="C541" s="155"/>
      <c r="D541" s="156"/>
      <c r="E541" s="156"/>
      <c r="F541" s="156"/>
      <c r="G541" s="156"/>
      <c r="H541" s="156"/>
      <c r="I541" s="156"/>
      <c r="J541" s="88"/>
    </row>
    <row r="542" spans="1:10" ht="38.25">
      <c r="A542" s="44" t="s">
        <v>0</v>
      </c>
      <c r="B542" s="44" t="s">
        <v>1</v>
      </c>
      <c r="C542" s="44" t="s">
        <v>2</v>
      </c>
      <c r="D542" s="44" t="s">
        <v>3</v>
      </c>
      <c r="E542" s="44" t="s">
        <v>4</v>
      </c>
      <c r="F542" s="44" t="s">
        <v>5</v>
      </c>
      <c r="G542" s="44" t="s">
        <v>6</v>
      </c>
      <c r="H542" s="44" t="s">
        <v>7</v>
      </c>
      <c r="I542" s="45" t="s">
        <v>8</v>
      </c>
      <c r="J542" s="44" t="s">
        <v>14</v>
      </c>
    </row>
    <row r="543" spans="1:10" ht="38.25">
      <c r="A543" s="71">
        <v>1</v>
      </c>
      <c r="B543" s="72" t="s">
        <v>269</v>
      </c>
      <c r="C543" s="48" t="s">
        <v>10</v>
      </c>
      <c r="D543" s="48">
        <v>200</v>
      </c>
      <c r="E543" s="248"/>
      <c r="F543" s="248">
        <f>D543*E543</f>
        <v>0</v>
      </c>
      <c r="G543" s="148">
        <v>0.08</v>
      </c>
      <c r="H543" s="248">
        <f>F543+(F543*G543)</f>
        <v>0</v>
      </c>
      <c r="I543" s="48"/>
      <c r="J543" s="48"/>
    </row>
    <row r="544" spans="1:10" ht="14.25">
      <c r="A544" s="71"/>
      <c r="B544" s="46" t="s">
        <v>11</v>
      </c>
      <c r="C544" s="46"/>
      <c r="D544" s="46"/>
      <c r="E544" s="75"/>
      <c r="F544" s="239">
        <f>SUM(F542:F543)</f>
        <v>0</v>
      </c>
      <c r="G544" s="226"/>
      <c r="H544" s="239">
        <f>SUM(H542:H543)</f>
        <v>0</v>
      </c>
      <c r="I544" s="46"/>
      <c r="J544" s="46"/>
    </row>
    <row r="545" spans="1:10" ht="14.25">
      <c r="A545" s="227"/>
      <c r="B545" s="228"/>
      <c r="C545" s="228"/>
      <c r="D545" s="228"/>
      <c r="E545" s="228"/>
      <c r="F545" s="229"/>
      <c r="G545" s="230"/>
      <c r="H545" s="228"/>
      <c r="I545" s="228"/>
      <c r="J545" s="228"/>
    </row>
    <row r="546" spans="1:10" ht="14.25">
      <c r="A546" s="227"/>
      <c r="B546" s="228"/>
      <c r="C546" s="228"/>
      <c r="D546" s="228"/>
      <c r="E546" s="228"/>
      <c r="F546" s="229"/>
      <c r="G546" s="230"/>
      <c r="H546" s="228"/>
      <c r="I546" s="331" t="s">
        <v>12</v>
      </c>
      <c r="J546" s="331"/>
    </row>
    <row r="547" spans="1:10" ht="14.25">
      <c r="A547" s="227"/>
      <c r="B547" s="228"/>
      <c r="C547" s="228"/>
      <c r="D547" s="228"/>
      <c r="E547" s="228"/>
      <c r="F547" s="229"/>
      <c r="G547" s="230"/>
      <c r="H547" s="228"/>
      <c r="I547" s="331" t="s">
        <v>13</v>
      </c>
      <c r="J547" s="331"/>
    </row>
    <row r="548" spans="1:10" ht="14.25">
      <c r="A548" s="227"/>
      <c r="B548" s="228"/>
      <c r="C548" s="228"/>
      <c r="D548" s="228"/>
      <c r="E548" s="228"/>
      <c r="F548" s="229"/>
      <c r="G548" s="230"/>
      <c r="H548" s="228"/>
      <c r="I548" s="52"/>
      <c r="J548" s="52"/>
    </row>
    <row r="549" spans="1:10" ht="15">
      <c r="A549" s="66" t="s">
        <v>348</v>
      </c>
      <c r="B549" s="88"/>
      <c r="C549" s="155"/>
      <c r="D549" s="156"/>
      <c r="E549" s="156"/>
      <c r="F549" s="156"/>
      <c r="G549" s="156"/>
      <c r="H549" s="156"/>
      <c r="I549" s="156"/>
      <c r="J549" s="88"/>
    </row>
    <row r="550" spans="1:10" ht="38.25">
      <c r="A550" s="44" t="s">
        <v>0</v>
      </c>
      <c r="B550" s="44" t="s">
        <v>1</v>
      </c>
      <c r="C550" s="44" t="s">
        <v>2</v>
      </c>
      <c r="D550" s="44" t="s">
        <v>3</v>
      </c>
      <c r="E550" s="44" t="s">
        <v>4</v>
      </c>
      <c r="F550" s="44" t="s">
        <v>5</v>
      </c>
      <c r="G550" s="44" t="s">
        <v>6</v>
      </c>
      <c r="H550" s="44" t="s">
        <v>7</v>
      </c>
      <c r="I550" s="45" t="s">
        <v>8</v>
      </c>
      <c r="J550" s="44" t="s">
        <v>14</v>
      </c>
    </row>
    <row r="551" spans="1:10" ht="159.75" customHeight="1">
      <c r="A551" s="71">
        <v>1</v>
      </c>
      <c r="B551" s="72" t="s">
        <v>270</v>
      </c>
      <c r="C551" s="48" t="s">
        <v>10</v>
      </c>
      <c r="D551" s="48">
        <v>5</v>
      </c>
      <c r="E551" s="248"/>
      <c r="F551" s="248">
        <f>D551*E551</f>
        <v>0</v>
      </c>
      <c r="G551" s="148"/>
      <c r="H551" s="248">
        <f>F551+(F551*G551)</f>
        <v>0</v>
      </c>
      <c r="I551" s="48"/>
      <c r="J551" s="48"/>
    </row>
    <row r="552" spans="1:10" ht="14.25">
      <c r="A552" s="71"/>
      <c r="B552" s="46" t="s">
        <v>11</v>
      </c>
      <c r="C552" s="46"/>
      <c r="D552" s="46"/>
      <c r="E552" s="75"/>
      <c r="F552" s="239">
        <f>SUM(F550:F551)</f>
        <v>0</v>
      </c>
      <c r="G552" s="226"/>
      <c r="H552" s="239">
        <f>SUM(H550:H551)</f>
        <v>0</v>
      </c>
      <c r="I552" s="46"/>
      <c r="J552" s="46"/>
    </row>
    <row r="553" spans="1:10" ht="14.25">
      <c r="A553" s="227"/>
      <c r="B553" s="228"/>
      <c r="C553" s="228"/>
      <c r="D553" s="228"/>
      <c r="E553" s="228"/>
      <c r="F553" s="229"/>
      <c r="G553" s="230"/>
      <c r="H553" s="228"/>
      <c r="I553" s="228"/>
      <c r="J553" s="228"/>
    </row>
    <row r="554" spans="1:10" ht="14.25">
      <c r="A554" s="227"/>
      <c r="B554" s="228"/>
      <c r="C554" s="228"/>
      <c r="D554" s="228"/>
      <c r="E554" s="228"/>
      <c r="F554" s="229"/>
      <c r="G554" s="230"/>
      <c r="H554" s="228"/>
      <c r="I554" s="331" t="s">
        <v>12</v>
      </c>
      <c r="J554" s="331"/>
    </row>
    <row r="555" spans="1:10" ht="14.25">
      <c r="A555" s="227"/>
      <c r="B555" s="228"/>
      <c r="C555" s="228"/>
      <c r="D555" s="228"/>
      <c r="E555" s="228"/>
      <c r="F555" s="229"/>
      <c r="G555" s="230"/>
      <c r="H555" s="228"/>
      <c r="I555" s="331" t="s">
        <v>13</v>
      </c>
      <c r="J555" s="331"/>
    </row>
    <row r="556" spans="1:10" ht="15">
      <c r="A556" s="66" t="s">
        <v>349</v>
      </c>
      <c r="B556" s="88"/>
      <c r="C556" s="155"/>
      <c r="D556" s="156"/>
      <c r="E556" s="156"/>
      <c r="F556" s="156"/>
      <c r="G556" s="156"/>
      <c r="H556" s="156"/>
      <c r="I556" s="156"/>
      <c r="J556" s="88"/>
    </row>
    <row r="557" spans="1:10" ht="38.25">
      <c r="A557" s="44" t="s">
        <v>0</v>
      </c>
      <c r="B557" s="44" t="s">
        <v>1</v>
      </c>
      <c r="C557" s="44" t="s">
        <v>2</v>
      </c>
      <c r="D557" s="44" t="s">
        <v>3</v>
      </c>
      <c r="E557" s="44" t="s">
        <v>4</v>
      </c>
      <c r="F557" s="44" t="s">
        <v>5</v>
      </c>
      <c r="G557" s="44" t="s">
        <v>6</v>
      </c>
      <c r="H557" s="44" t="s">
        <v>7</v>
      </c>
      <c r="I557" s="45" t="s">
        <v>8</v>
      </c>
      <c r="J557" s="44" t="s">
        <v>14</v>
      </c>
    </row>
    <row r="558" spans="1:10" ht="242.25">
      <c r="A558" s="71">
        <v>1</v>
      </c>
      <c r="B558" s="72" t="s">
        <v>271</v>
      </c>
      <c r="C558" s="48" t="s">
        <v>10</v>
      </c>
      <c r="D558" s="48">
        <v>100</v>
      </c>
      <c r="E558" s="248"/>
      <c r="F558" s="248">
        <f>D558*E558</f>
        <v>0</v>
      </c>
      <c r="G558" s="148"/>
      <c r="H558" s="248">
        <f>F558+(F558*G558)</f>
        <v>0</v>
      </c>
      <c r="I558" s="48"/>
      <c r="J558" s="48"/>
    </row>
    <row r="559" spans="1:10" ht="190.5" customHeight="1">
      <c r="A559" s="71">
        <v>2</v>
      </c>
      <c r="B559" s="72" t="s">
        <v>272</v>
      </c>
      <c r="C559" s="48" t="s">
        <v>10</v>
      </c>
      <c r="D559" s="48">
        <v>90</v>
      </c>
      <c r="E559" s="248"/>
      <c r="F559" s="248">
        <f>D559*E559</f>
        <v>0</v>
      </c>
      <c r="G559" s="148"/>
      <c r="H559" s="248">
        <f>F559+(F559*G559)</f>
        <v>0</v>
      </c>
      <c r="I559" s="48"/>
      <c r="J559" s="48"/>
    </row>
    <row r="560" spans="1:10" ht="14.25">
      <c r="A560" s="71"/>
      <c r="B560" s="46" t="s">
        <v>11</v>
      </c>
      <c r="C560" s="46"/>
      <c r="D560" s="46"/>
      <c r="E560" s="75"/>
      <c r="F560" s="239">
        <f>SUM(F558:F559)</f>
        <v>0</v>
      </c>
      <c r="G560" s="226"/>
      <c r="H560" s="239">
        <f>SUM(H558:H559)</f>
        <v>0</v>
      </c>
      <c r="I560" s="46"/>
      <c r="J560" s="46"/>
    </row>
    <row r="561" spans="1:10" ht="14.25">
      <c r="A561" s="227"/>
      <c r="B561" s="228"/>
      <c r="C561" s="228"/>
      <c r="D561" s="228"/>
      <c r="E561" s="228"/>
      <c r="F561" s="229"/>
      <c r="G561" s="230"/>
      <c r="H561" s="228"/>
      <c r="I561" s="228"/>
      <c r="J561" s="228"/>
    </row>
    <row r="562" spans="1:10" ht="24" customHeight="1">
      <c r="A562" s="330" t="s">
        <v>273</v>
      </c>
      <c r="B562" s="330"/>
      <c r="C562" s="228"/>
      <c r="D562" s="228"/>
      <c r="E562" s="228"/>
      <c r="F562" s="229"/>
      <c r="G562" s="230"/>
      <c r="H562" s="228"/>
      <c r="I562" s="331" t="s">
        <v>12</v>
      </c>
      <c r="J562" s="331"/>
    </row>
    <row r="563" spans="1:10" ht="14.25">
      <c r="A563" s="227"/>
      <c r="B563" s="228"/>
      <c r="C563" s="228"/>
      <c r="D563" s="228"/>
      <c r="E563" s="228"/>
      <c r="F563" s="229"/>
      <c r="G563" s="230"/>
      <c r="H563" s="228"/>
      <c r="I563" s="331" t="s">
        <v>13</v>
      </c>
      <c r="J563" s="331"/>
    </row>
    <row r="564" spans="1:10" ht="14.25">
      <c r="A564" s="227"/>
      <c r="B564" s="228"/>
      <c r="C564" s="228"/>
      <c r="D564" s="228"/>
      <c r="E564" s="228"/>
      <c r="F564" s="229"/>
      <c r="G564" s="230"/>
      <c r="H564" s="228"/>
      <c r="I564" s="52"/>
      <c r="J564" s="52"/>
    </row>
    <row r="565" spans="1:10" ht="15" customHeight="1">
      <c r="A565" s="66" t="s">
        <v>350</v>
      </c>
      <c r="B565" s="88"/>
      <c r="C565" s="155"/>
      <c r="D565" s="156"/>
      <c r="E565" s="156"/>
      <c r="F565" s="156"/>
      <c r="G565" s="156"/>
      <c r="H565" s="156"/>
      <c r="I565" s="156"/>
      <c r="J565" s="88"/>
    </row>
    <row r="566" spans="1:10" ht="38.25">
      <c r="A566" s="44" t="s">
        <v>0</v>
      </c>
      <c r="B566" s="44" t="s">
        <v>1</v>
      </c>
      <c r="C566" s="44" t="s">
        <v>2</v>
      </c>
      <c r="D566" s="44" t="s">
        <v>3</v>
      </c>
      <c r="E566" s="44" t="s">
        <v>4</v>
      </c>
      <c r="F566" s="44" t="s">
        <v>5</v>
      </c>
      <c r="G566" s="44" t="s">
        <v>6</v>
      </c>
      <c r="H566" s="44" t="s">
        <v>7</v>
      </c>
      <c r="I566" s="45" t="s">
        <v>8</v>
      </c>
      <c r="J566" s="44" t="s">
        <v>14</v>
      </c>
    </row>
    <row r="567" spans="1:10" ht="38.25">
      <c r="A567" s="71">
        <v>1</v>
      </c>
      <c r="B567" s="72" t="s">
        <v>278</v>
      </c>
      <c r="C567" s="48" t="s">
        <v>10</v>
      </c>
      <c r="D567" s="48">
        <v>50</v>
      </c>
      <c r="E567" s="248"/>
      <c r="F567" s="248">
        <f>D567*E567</f>
        <v>0</v>
      </c>
      <c r="G567" s="148"/>
      <c r="H567" s="248">
        <f>F567*1.08</f>
        <v>0</v>
      </c>
      <c r="I567" s="48"/>
      <c r="J567" s="48"/>
    </row>
    <row r="568" spans="1:10" ht="14.25">
      <c r="A568" s="71"/>
      <c r="B568" s="46" t="s">
        <v>11</v>
      </c>
      <c r="C568" s="46"/>
      <c r="D568" s="46"/>
      <c r="E568" s="75"/>
      <c r="F568" s="239">
        <f>SUM(F566:F567)</f>
        <v>0</v>
      </c>
      <c r="G568" s="226"/>
      <c r="H568" s="239">
        <f>SUM(H566:H567)</f>
        <v>0</v>
      </c>
      <c r="I568" s="46"/>
      <c r="J568" s="46"/>
    </row>
    <row r="569" spans="1:10" ht="14.25">
      <c r="A569" s="227"/>
      <c r="B569" s="228"/>
      <c r="C569" s="228"/>
      <c r="D569" s="228"/>
      <c r="E569" s="228"/>
      <c r="F569" s="229"/>
      <c r="G569" s="230"/>
      <c r="H569" s="228"/>
      <c r="I569" s="228"/>
      <c r="J569" s="228"/>
    </row>
    <row r="570" spans="1:10" ht="14.25">
      <c r="A570" s="227"/>
      <c r="B570" s="228"/>
      <c r="C570" s="228"/>
      <c r="D570" s="228"/>
      <c r="E570" s="228"/>
      <c r="F570" s="229"/>
      <c r="G570" s="230"/>
      <c r="H570" s="228"/>
      <c r="I570" s="331" t="s">
        <v>12</v>
      </c>
      <c r="J570" s="331"/>
    </row>
    <row r="571" spans="1:10" ht="14.25">
      <c r="A571" s="227"/>
      <c r="B571" s="228"/>
      <c r="C571" s="228"/>
      <c r="D571" s="228"/>
      <c r="E571" s="228"/>
      <c r="F571" s="229"/>
      <c r="G571" s="230"/>
      <c r="H571" s="228"/>
      <c r="I571" s="331" t="s">
        <v>13</v>
      </c>
      <c r="J571" s="331"/>
    </row>
    <row r="572" spans="1:10" ht="14.25">
      <c r="A572" s="227"/>
      <c r="B572" s="228"/>
      <c r="C572" s="228"/>
      <c r="D572" s="228"/>
      <c r="E572" s="228"/>
      <c r="F572" s="229"/>
      <c r="G572" s="230"/>
      <c r="H572" s="228"/>
      <c r="I572" s="52"/>
      <c r="J572" s="52"/>
    </row>
    <row r="574" spans="1:10" ht="15">
      <c r="A574" s="26" t="s">
        <v>351</v>
      </c>
      <c r="B574" s="4"/>
      <c r="C574" s="4"/>
      <c r="D574" s="4"/>
      <c r="E574" s="4"/>
      <c r="F574" s="5"/>
      <c r="G574" s="4"/>
      <c r="H574" s="4"/>
      <c r="I574" s="4"/>
      <c r="J574" s="6"/>
    </row>
    <row r="575" spans="1:10" ht="38.25">
      <c r="A575" s="28" t="s">
        <v>0</v>
      </c>
      <c r="B575" s="28" t="s">
        <v>1</v>
      </c>
      <c r="C575" s="28" t="s">
        <v>2</v>
      </c>
      <c r="D575" s="28" t="s">
        <v>3</v>
      </c>
      <c r="E575" s="28" t="s">
        <v>4</v>
      </c>
      <c r="F575" s="28" t="s">
        <v>5</v>
      </c>
      <c r="G575" s="28" t="s">
        <v>6</v>
      </c>
      <c r="H575" s="28" t="s">
        <v>7</v>
      </c>
      <c r="I575" s="30" t="s">
        <v>8</v>
      </c>
      <c r="J575" s="28" t="s">
        <v>9</v>
      </c>
    </row>
    <row r="576" spans="1:10" ht="38.25">
      <c r="A576" s="31">
        <v>1</v>
      </c>
      <c r="B576" s="10" t="s">
        <v>290</v>
      </c>
      <c r="C576" s="14" t="s">
        <v>10</v>
      </c>
      <c r="D576" s="14">
        <f>2+2+3+20+3</f>
        <v>30</v>
      </c>
      <c r="E576" s="319"/>
      <c r="F576" s="270">
        <f>D576*E576</f>
        <v>0</v>
      </c>
      <c r="G576" s="95"/>
      <c r="H576" s="248">
        <f>F576+(F576*G576)</f>
        <v>0</v>
      </c>
      <c r="I576" s="38"/>
      <c r="J576" s="38"/>
    </row>
    <row r="577" spans="1:10" ht="14.25">
      <c r="A577" s="31">
        <v>2</v>
      </c>
      <c r="B577" s="10" t="s">
        <v>291</v>
      </c>
      <c r="C577" s="14" t="s">
        <v>10</v>
      </c>
      <c r="D577" s="14">
        <f>2+5+3</f>
        <v>10</v>
      </c>
      <c r="E577" s="319"/>
      <c r="F577" s="270">
        <f>D577*E577</f>
        <v>0</v>
      </c>
      <c r="G577" s="95"/>
      <c r="H577" s="248">
        <f>F577+(F577*G577)</f>
        <v>0</v>
      </c>
      <c r="I577" s="38"/>
      <c r="J577" s="38"/>
    </row>
    <row r="578" spans="1:10" ht="14.25">
      <c r="A578" s="31">
        <v>3</v>
      </c>
      <c r="B578" s="10" t="s">
        <v>292</v>
      </c>
      <c r="C578" s="14" t="s">
        <v>10</v>
      </c>
      <c r="D578" s="14">
        <f>2+10+8</f>
        <v>20</v>
      </c>
      <c r="E578" s="319"/>
      <c r="F578" s="270">
        <f>D578*E578</f>
        <v>0</v>
      </c>
      <c r="G578" s="95"/>
      <c r="H578" s="248">
        <f>F578+(F578*G578)</f>
        <v>0</v>
      </c>
      <c r="I578" s="38"/>
      <c r="J578" s="38"/>
    </row>
    <row r="579" spans="1:10" ht="14.25">
      <c r="A579" s="295">
        <v>4</v>
      </c>
      <c r="B579" s="296" t="s">
        <v>293</v>
      </c>
      <c r="C579" s="141" t="s">
        <v>10</v>
      </c>
      <c r="D579" s="141">
        <f>3+2</f>
        <v>5</v>
      </c>
      <c r="E579" s="297"/>
      <c r="F579" s="298">
        <f>D579*E579</f>
        <v>0</v>
      </c>
      <c r="G579" s="299"/>
      <c r="H579" s="248">
        <f>F579+(F579*G579)</f>
        <v>0</v>
      </c>
      <c r="I579" s="142"/>
      <c r="J579" s="142"/>
    </row>
    <row r="580" spans="1:10" ht="14.25">
      <c r="A580" s="300"/>
      <c r="B580" s="301" t="s">
        <v>11</v>
      </c>
      <c r="C580" s="300"/>
      <c r="D580" s="300"/>
      <c r="E580" s="316"/>
      <c r="F580" s="302">
        <f>SUM(F566:F579)</f>
        <v>0</v>
      </c>
      <c r="G580" s="303"/>
      <c r="H580" s="302">
        <f>SUM(H566:H579)</f>
        <v>0</v>
      </c>
      <c r="I580" s="300"/>
      <c r="J580" s="304"/>
    </row>
    <row r="581" spans="1:10" ht="14.25">
      <c r="A581" s="249"/>
      <c r="B581" s="113"/>
      <c r="C581" s="143"/>
      <c r="D581" s="143"/>
      <c r="E581" s="292"/>
      <c r="F581" s="293"/>
      <c r="G581" s="294"/>
      <c r="H581" s="293"/>
      <c r="I581" s="147"/>
      <c r="J581" s="147"/>
    </row>
    <row r="582" spans="1:10" ht="14.25">
      <c r="A582" s="249"/>
      <c r="B582" s="113"/>
      <c r="C582" s="143"/>
      <c r="D582" s="143"/>
      <c r="E582" s="292"/>
      <c r="F582" s="293"/>
      <c r="G582" s="294"/>
      <c r="H582" s="293"/>
      <c r="I582" s="147"/>
      <c r="J582" s="147"/>
    </row>
    <row r="583" spans="1:10" ht="14.25">
      <c r="A583" s="249"/>
      <c r="B583" s="113"/>
      <c r="C583" s="143"/>
      <c r="D583" s="143"/>
      <c r="E583" s="292"/>
      <c r="F583" s="293"/>
      <c r="G583" s="294"/>
      <c r="H583" s="293"/>
      <c r="I583" s="147"/>
      <c r="J583" s="147"/>
    </row>
    <row r="584" spans="1:10" ht="14.25">
      <c r="A584" s="249"/>
      <c r="B584" s="113"/>
      <c r="C584" s="143"/>
      <c r="D584" s="143"/>
      <c r="E584" s="292"/>
      <c r="F584" s="293"/>
      <c r="G584" s="294"/>
      <c r="H584" s="293"/>
      <c r="I584" s="147"/>
      <c r="J584" s="147"/>
    </row>
    <row r="585" spans="1:10" ht="14.25">
      <c r="A585" s="249"/>
      <c r="B585" s="113"/>
      <c r="C585" s="143"/>
      <c r="D585" s="143"/>
      <c r="E585" s="292"/>
      <c r="F585" s="293"/>
      <c r="G585" s="294"/>
      <c r="H585" s="293"/>
      <c r="I585" s="334" t="s">
        <v>12</v>
      </c>
      <c r="J585" s="334"/>
    </row>
    <row r="586" spans="1:10" ht="14.25">
      <c r="A586" s="249"/>
      <c r="B586" s="113"/>
      <c r="C586" s="143"/>
      <c r="D586" s="143"/>
      <c r="E586" s="292"/>
      <c r="F586" s="293"/>
      <c r="G586" s="294"/>
      <c r="H586" s="293"/>
      <c r="I586" s="334" t="s">
        <v>13</v>
      </c>
      <c r="J586" s="334"/>
    </row>
    <row r="587" spans="1:10" ht="14.25">
      <c r="A587" s="249"/>
      <c r="B587" s="113"/>
      <c r="C587" s="143"/>
      <c r="D587" s="143"/>
      <c r="E587" s="292"/>
      <c r="F587" s="293"/>
      <c r="G587" s="294"/>
      <c r="H587" s="293"/>
      <c r="I587" s="147"/>
      <c r="J587" s="147"/>
    </row>
    <row r="588" spans="1:10" ht="14.25">
      <c r="A588" s="249"/>
      <c r="B588" s="113"/>
      <c r="C588" s="143"/>
      <c r="D588" s="143"/>
      <c r="E588" s="292"/>
      <c r="F588" s="293"/>
      <c r="G588" s="294"/>
      <c r="H588" s="293"/>
      <c r="I588" s="147"/>
      <c r="J588" s="147"/>
    </row>
    <row r="589" spans="1:10" ht="14.25">
      <c r="A589" s="342" t="s">
        <v>352</v>
      </c>
      <c r="B589" s="343"/>
      <c r="C589" s="124"/>
      <c r="D589" s="124"/>
      <c r="E589" s="125"/>
      <c r="F589" s="291"/>
      <c r="G589" s="126"/>
      <c r="H589" s="291"/>
      <c r="I589" s="127"/>
      <c r="J589" s="127"/>
    </row>
    <row r="590" spans="1:10" ht="38.25">
      <c r="A590" s="28" t="s">
        <v>0</v>
      </c>
      <c r="B590" s="28" t="s">
        <v>1</v>
      </c>
      <c r="C590" s="28" t="s">
        <v>2</v>
      </c>
      <c r="D590" s="28" t="s">
        <v>3</v>
      </c>
      <c r="E590" s="28" t="s">
        <v>4</v>
      </c>
      <c r="F590" s="28" t="s">
        <v>5</v>
      </c>
      <c r="G590" s="28" t="s">
        <v>6</v>
      </c>
      <c r="H590" s="28" t="s">
        <v>7</v>
      </c>
      <c r="I590" s="30" t="s">
        <v>8</v>
      </c>
      <c r="J590" s="28" t="s">
        <v>9</v>
      </c>
    </row>
    <row r="591" spans="1:10" ht="38.25">
      <c r="A591" s="31">
        <v>1</v>
      </c>
      <c r="B591" s="251" t="s">
        <v>294</v>
      </c>
      <c r="C591" s="14" t="s">
        <v>10</v>
      </c>
      <c r="D591" s="14">
        <f>50+29+50+5+1+5</f>
        <v>140</v>
      </c>
      <c r="E591" s="319"/>
      <c r="F591" s="270">
        <f>D591*E591</f>
        <v>0</v>
      </c>
      <c r="G591" s="95"/>
      <c r="H591" s="248">
        <f>F591+(F591*G591)</f>
        <v>0</v>
      </c>
      <c r="I591" s="38"/>
      <c r="J591" s="38"/>
    </row>
    <row r="592" spans="1:10" ht="25.5">
      <c r="A592" s="31">
        <v>2</v>
      </c>
      <c r="B592" s="251" t="s">
        <v>295</v>
      </c>
      <c r="C592" s="14" t="s">
        <v>10</v>
      </c>
      <c r="D592" s="14">
        <v>50</v>
      </c>
      <c r="E592" s="319"/>
      <c r="F592" s="270">
        <f>D592*E592</f>
        <v>0</v>
      </c>
      <c r="G592" s="95"/>
      <c r="H592" s="248">
        <f>F592+(F592*G592)</f>
        <v>0</v>
      </c>
      <c r="I592" s="38"/>
      <c r="J592" s="38"/>
    </row>
    <row r="593" spans="1:10" ht="25.5">
      <c r="A593" s="31">
        <v>3</v>
      </c>
      <c r="B593" s="251" t="s">
        <v>296</v>
      </c>
      <c r="C593" s="14" t="s">
        <v>10</v>
      </c>
      <c r="D593" s="14">
        <f>3+35</f>
        <v>38</v>
      </c>
      <c r="E593" s="319"/>
      <c r="F593" s="270">
        <f>D593*E593</f>
        <v>0</v>
      </c>
      <c r="G593" s="95"/>
      <c r="H593" s="248">
        <f>F593+(F593*G593)</f>
        <v>0</v>
      </c>
      <c r="I593" s="38"/>
      <c r="J593" s="38"/>
    </row>
    <row r="594" spans="1:10" ht="38.25">
      <c r="A594" s="31">
        <v>4</v>
      </c>
      <c r="B594" s="251" t="s">
        <v>297</v>
      </c>
      <c r="C594" s="14" t="s">
        <v>10</v>
      </c>
      <c r="D594" s="14">
        <f>50+50+100</f>
        <v>200</v>
      </c>
      <c r="E594" s="319"/>
      <c r="F594" s="270">
        <f>D594*E594</f>
        <v>0</v>
      </c>
      <c r="G594" s="95"/>
      <c r="H594" s="248">
        <f>F594+(F594*G594)</f>
        <v>0</v>
      </c>
      <c r="I594" s="38"/>
      <c r="J594" s="38"/>
    </row>
    <row r="595" spans="1:10" ht="38.25">
      <c r="A595" s="31">
        <v>5</v>
      </c>
      <c r="B595" s="251" t="s">
        <v>298</v>
      </c>
      <c r="C595" s="14" t="s">
        <v>299</v>
      </c>
      <c r="D595" s="14">
        <v>10</v>
      </c>
      <c r="E595" s="319"/>
      <c r="F595" s="270">
        <f>D595*E595</f>
        <v>0</v>
      </c>
      <c r="G595" s="95"/>
      <c r="H595" s="248">
        <f>F595+(F595*G595)</f>
        <v>0</v>
      </c>
      <c r="I595" s="38"/>
      <c r="J595" s="38"/>
    </row>
    <row r="596" spans="1:10" ht="14.25">
      <c r="A596" s="77"/>
      <c r="B596" s="9" t="s">
        <v>11</v>
      </c>
      <c r="C596" s="77"/>
      <c r="D596" s="77"/>
      <c r="E596" s="77"/>
      <c r="F596" s="271">
        <f>SUM(F576:F595)</f>
        <v>0</v>
      </c>
      <c r="G596" s="168"/>
      <c r="H596" s="271">
        <f>SUM(H576:H595)</f>
        <v>0</v>
      </c>
      <c r="I596" s="77"/>
      <c r="J596" s="60"/>
    </row>
    <row r="597" spans="1:10" ht="14.25">
      <c r="A597" s="4"/>
      <c r="B597" s="4"/>
      <c r="C597" s="4"/>
      <c r="D597" s="4"/>
      <c r="E597" s="4"/>
      <c r="F597" s="5"/>
      <c r="G597" s="4"/>
      <c r="H597" s="4"/>
      <c r="I597" s="4"/>
      <c r="J597" s="6"/>
    </row>
    <row r="598" spans="1:10" ht="14.25">
      <c r="A598" s="4"/>
      <c r="B598" s="4"/>
      <c r="C598" s="4"/>
      <c r="D598" s="4"/>
      <c r="E598" s="4"/>
      <c r="F598" s="5"/>
      <c r="G598" s="4"/>
      <c r="H598" s="4"/>
      <c r="I598" s="4"/>
      <c r="J598" s="6"/>
    </row>
    <row r="599" spans="1:10" ht="14.25">
      <c r="A599" s="4"/>
      <c r="B599" s="4"/>
      <c r="C599" s="4"/>
      <c r="D599" s="4"/>
      <c r="E599" s="4"/>
      <c r="F599" s="5"/>
      <c r="G599" s="4"/>
      <c r="H599" s="4"/>
      <c r="I599" s="334" t="s">
        <v>12</v>
      </c>
      <c r="J599" s="334"/>
    </row>
    <row r="600" spans="1:10" ht="14.25">
      <c r="A600" s="4"/>
      <c r="B600" s="4"/>
      <c r="C600" s="4"/>
      <c r="D600" s="4"/>
      <c r="E600" s="4"/>
      <c r="F600" s="5"/>
      <c r="G600" s="4"/>
      <c r="H600" s="4"/>
      <c r="I600" s="334" t="s">
        <v>13</v>
      </c>
      <c r="J600" s="334"/>
    </row>
    <row r="603" spans="1:10" ht="15">
      <c r="A603" s="26" t="s">
        <v>353</v>
      </c>
      <c r="B603" s="4"/>
      <c r="C603" s="4"/>
      <c r="D603" s="4"/>
      <c r="E603" s="4"/>
      <c r="F603" s="5"/>
      <c r="G603" s="4"/>
      <c r="H603" s="4"/>
      <c r="I603" s="4"/>
      <c r="J603" s="6"/>
    </row>
    <row r="604" spans="1:10" ht="38.25">
      <c r="A604" s="313" t="s">
        <v>0</v>
      </c>
      <c r="B604" s="312" t="s">
        <v>1</v>
      </c>
      <c r="C604" s="312" t="s">
        <v>2</v>
      </c>
      <c r="D604" s="312" t="s">
        <v>3</v>
      </c>
      <c r="E604" s="312" t="s">
        <v>4</v>
      </c>
      <c r="F604" s="312" t="s">
        <v>5</v>
      </c>
      <c r="G604" s="312" t="s">
        <v>6</v>
      </c>
      <c r="H604" s="312" t="s">
        <v>7</v>
      </c>
      <c r="I604" s="311" t="s">
        <v>8</v>
      </c>
      <c r="J604" s="312" t="s">
        <v>9</v>
      </c>
    </row>
    <row r="605" spans="1:10" ht="89.25">
      <c r="A605" s="315">
        <v>1</v>
      </c>
      <c r="B605" s="314" t="s">
        <v>300</v>
      </c>
      <c r="C605" s="124" t="s">
        <v>10</v>
      </c>
      <c r="D605" s="124">
        <f>200</f>
        <v>200</v>
      </c>
      <c r="E605" s="125"/>
      <c r="F605" s="291">
        <f>D605*E605</f>
        <v>0</v>
      </c>
      <c r="G605" s="126"/>
      <c r="H605" s="248">
        <f>F605+(F605*G605)</f>
        <v>0</v>
      </c>
      <c r="I605" s="127"/>
      <c r="J605" s="127"/>
    </row>
    <row r="606" spans="1:10" ht="24">
      <c r="A606" s="31">
        <v>2</v>
      </c>
      <c r="B606" s="290" t="s">
        <v>301</v>
      </c>
      <c r="C606" s="61" t="s">
        <v>10</v>
      </c>
      <c r="D606" s="61">
        <f>6200</f>
        <v>6200</v>
      </c>
      <c r="E606" s="321"/>
      <c r="F606" s="270">
        <f>D606*E606</f>
        <v>0</v>
      </c>
      <c r="G606" s="92"/>
      <c r="H606" s="248">
        <f>F606+(F606*G606)</f>
        <v>0</v>
      </c>
      <c r="I606" s="62"/>
      <c r="J606" s="61"/>
    </row>
    <row r="607" spans="1:10" ht="14.25">
      <c r="A607" s="77"/>
      <c r="B607" s="9" t="s">
        <v>11</v>
      </c>
      <c r="C607" s="77"/>
      <c r="D607" s="77"/>
      <c r="E607" s="77"/>
      <c r="F607" s="271">
        <f>SUM(F605:F606)</f>
        <v>0</v>
      </c>
      <c r="G607" s="168"/>
      <c r="H607" s="271">
        <f>SUM(H605:H606)</f>
        <v>0</v>
      </c>
      <c r="I607" s="77"/>
      <c r="J607" s="60"/>
    </row>
    <row r="608" spans="1:10" ht="14.25">
      <c r="A608" s="4"/>
      <c r="B608" s="4"/>
      <c r="C608" s="4"/>
      <c r="D608" s="4"/>
      <c r="E608" s="4"/>
      <c r="F608" s="5"/>
      <c r="G608" s="4"/>
      <c r="H608" s="269"/>
      <c r="I608" s="4"/>
      <c r="J608" s="6"/>
    </row>
    <row r="609" spans="1:10" ht="14.25">
      <c r="A609" s="4"/>
      <c r="B609" s="4"/>
      <c r="C609" s="4"/>
      <c r="D609" s="4"/>
      <c r="E609" s="4"/>
      <c r="F609" s="5"/>
      <c r="G609" s="4"/>
      <c r="H609" s="4"/>
      <c r="I609" s="4"/>
      <c r="J609" s="6"/>
    </row>
    <row r="610" spans="1:10" ht="14.25">
      <c r="A610" s="4"/>
      <c r="B610" s="4"/>
      <c r="C610" s="4"/>
      <c r="D610" s="4"/>
      <c r="E610" s="4"/>
      <c r="F610" s="5"/>
      <c r="G610" s="4"/>
      <c r="H610" s="4"/>
      <c r="I610" s="334" t="s">
        <v>12</v>
      </c>
      <c r="J610" s="334"/>
    </row>
    <row r="611" spans="1:10" ht="14.25">
      <c r="A611" s="4"/>
      <c r="B611" s="4"/>
      <c r="C611" s="4"/>
      <c r="D611" s="4"/>
      <c r="E611" s="4"/>
      <c r="F611" s="5"/>
      <c r="G611" s="4"/>
      <c r="H611" s="4"/>
      <c r="I611" s="334" t="s">
        <v>13</v>
      </c>
      <c r="J611" s="334"/>
    </row>
    <row r="613" spans="1:10" ht="15">
      <c r="A613" s="26" t="s">
        <v>354</v>
      </c>
      <c r="B613" s="4"/>
      <c r="C613" s="4"/>
      <c r="D613" s="4"/>
      <c r="E613" s="4"/>
      <c r="F613" s="5"/>
      <c r="G613" s="4"/>
      <c r="H613" s="4"/>
      <c r="I613" s="4"/>
      <c r="J613" s="6"/>
    </row>
    <row r="614" spans="1:10" ht="38.25">
      <c r="A614" s="313" t="s">
        <v>0</v>
      </c>
      <c r="B614" s="312" t="s">
        <v>1</v>
      </c>
      <c r="C614" s="312" t="s">
        <v>2</v>
      </c>
      <c r="D614" s="312" t="s">
        <v>3</v>
      </c>
      <c r="E614" s="312" t="s">
        <v>4</v>
      </c>
      <c r="F614" s="312" t="s">
        <v>5</v>
      </c>
      <c r="G614" s="312" t="s">
        <v>6</v>
      </c>
      <c r="H614" s="312" t="s">
        <v>7</v>
      </c>
      <c r="I614" s="311" t="s">
        <v>8</v>
      </c>
      <c r="J614" s="312" t="s">
        <v>9</v>
      </c>
    </row>
    <row r="615" spans="1:10" ht="48" customHeight="1">
      <c r="A615" s="315">
        <v>1</v>
      </c>
      <c r="B615" s="314" t="s">
        <v>302</v>
      </c>
      <c r="C615" s="124" t="s">
        <v>10</v>
      </c>
      <c r="D615" s="124">
        <v>3000</v>
      </c>
      <c r="E615" s="125"/>
      <c r="F615" s="291">
        <f>D615*E615</f>
        <v>0</v>
      </c>
      <c r="G615" s="126"/>
      <c r="H615" s="248">
        <f>F615+(F615*G615)</f>
        <v>0</v>
      </c>
      <c r="I615" s="127"/>
      <c r="J615" s="127"/>
    </row>
    <row r="616" spans="1:10" ht="36">
      <c r="A616" s="31">
        <v>2</v>
      </c>
      <c r="B616" s="290" t="s">
        <v>303</v>
      </c>
      <c r="C616" s="61" t="s">
        <v>10</v>
      </c>
      <c r="D616" s="61">
        <v>300</v>
      </c>
      <c r="E616" s="321"/>
      <c r="F616" s="270">
        <f>D616*E616</f>
        <v>0</v>
      </c>
      <c r="G616" s="92"/>
      <c r="H616" s="248">
        <f>F616+(F616*G616)</f>
        <v>0</v>
      </c>
      <c r="I616" s="62"/>
      <c r="J616" s="61"/>
    </row>
    <row r="617" spans="1:10" ht="14.25">
      <c r="A617" s="77"/>
      <c r="B617" s="9" t="s">
        <v>11</v>
      </c>
      <c r="C617" s="77"/>
      <c r="D617" s="77"/>
      <c r="E617" s="77"/>
      <c r="F617" s="271">
        <f>SUM(F615:F616)</f>
        <v>0</v>
      </c>
      <c r="G617" s="168"/>
      <c r="H617" s="271">
        <f>SUM(H615:H616)</f>
        <v>0</v>
      </c>
      <c r="I617" s="77"/>
      <c r="J617" s="60"/>
    </row>
    <row r="618" spans="1:10" ht="14.25">
      <c r="A618" s="4"/>
      <c r="B618" s="4"/>
      <c r="C618" s="4"/>
      <c r="D618" s="4"/>
      <c r="E618" s="4"/>
      <c r="F618" s="5"/>
      <c r="G618" s="4"/>
      <c r="H618" s="269"/>
      <c r="I618" s="4"/>
      <c r="J618" s="6"/>
    </row>
    <row r="619" spans="1:10" ht="14.25">
      <c r="A619" s="4"/>
      <c r="B619" s="4"/>
      <c r="C619" s="4"/>
      <c r="D619" s="4"/>
      <c r="E619" s="4"/>
      <c r="F619" s="5"/>
      <c r="G619" s="4"/>
      <c r="H619" s="4"/>
      <c r="I619" s="4"/>
      <c r="J619" s="6"/>
    </row>
    <row r="620" spans="1:10" ht="14.25">
      <c r="A620" s="4"/>
      <c r="B620" s="4"/>
      <c r="C620" s="4"/>
      <c r="D620" s="4"/>
      <c r="E620" s="4"/>
      <c r="F620" s="5"/>
      <c r="G620" s="4"/>
      <c r="H620" s="4"/>
      <c r="I620" s="334" t="s">
        <v>12</v>
      </c>
      <c r="J620" s="334"/>
    </row>
    <row r="621" spans="1:10" ht="14.25">
      <c r="A621" s="4"/>
      <c r="B621" s="4"/>
      <c r="C621" s="4"/>
      <c r="D621" s="4"/>
      <c r="E621" s="4"/>
      <c r="F621" s="5"/>
      <c r="G621" s="4"/>
      <c r="H621" s="4"/>
      <c r="I621" s="334" t="s">
        <v>13</v>
      </c>
      <c r="J621" s="334"/>
    </row>
    <row r="622" spans="1:10" ht="14.25">
      <c r="A622" s="4"/>
      <c r="B622" s="4"/>
      <c r="C622" s="4"/>
      <c r="D622" s="4"/>
      <c r="E622" s="4"/>
      <c r="F622" s="5"/>
      <c r="G622" s="4"/>
      <c r="H622" s="4"/>
      <c r="I622" s="23"/>
      <c r="J622" s="23"/>
    </row>
    <row r="623" spans="1:10" ht="15">
      <c r="A623" s="26" t="s">
        <v>355</v>
      </c>
      <c r="B623" s="4"/>
      <c r="C623" s="4"/>
      <c r="D623" s="4"/>
      <c r="E623" s="4"/>
      <c r="F623" s="5"/>
      <c r="G623" s="4"/>
      <c r="H623" s="4"/>
      <c r="I623" s="4"/>
      <c r="J623" s="6"/>
    </row>
    <row r="624" spans="1:10" ht="38.25">
      <c r="A624" s="313" t="s">
        <v>0</v>
      </c>
      <c r="B624" s="312" t="s">
        <v>1</v>
      </c>
      <c r="C624" s="312" t="s">
        <v>2</v>
      </c>
      <c r="D624" s="312" t="s">
        <v>3</v>
      </c>
      <c r="E624" s="312" t="s">
        <v>4</v>
      </c>
      <c r="F624" s="312" t="s">
        <v>5</v>
      </c>
      <c r="G624" s="312" t="s">
        <v>6</v>
      </c>
      <c r="H624" s="312" t="s">
        <v>7</v>
      </c>
      <c r="I624" s="311" t="s">
        <v>8</v>
      </c>
      <c r="J624" s="312" t="s">
        <v>9</v>
      </c>
    </row>
    <row r="625" spans="1:10" ht="25.5">
      <c r="A625" s="315">
        <v>1</v>
      </c>
      <c r="B625" s="329" t="s">
        <v>305</v>
      </c>
      <c r="C625" s="124" t="s">
        <v>10</v>
      </c>
      <c r="D625" s="124">
        <v>5</v>
      </c>
      <c r="E625" s="125"/>
      <c r="F625" s="291">
        <f>D625*E625</f>
        <v>0</v>
      </c>
      <c r="G625" s="126"/>
      <c r="H625" s="248">
        <f>F625+(F625*G625)</f>
        <v>0</v>
      </c>
      <c r="I625" s="127"/>
      <c r="J625" s="127"/>
    </row>
    <row r="626" spans="1:10" ht="14.25">
      <c r="A626" s="77"/>
      <c r="B626" s="9" t="s">
        <v>11</v>
      </c>
      <c r="C626" s="77"/>
      <c r="D626" s="77"/>
      <c r="E626" s="77"/>
      <c r="F626" s="271">
        <f>SUM(F625:F625)</f>
        <v>0</v>
      </c>
      <c r="G626" s="168"/>
      <c r="H626" s="271">
        <f>SUM(H625:H625)</f>
        <v>0</v>
      </c>
      <c r="I626" s="77"/>
      <c r="J626" s="60"/>
    </row>
    <row r="627" spans="1:10" ht="14.25">
      <c r="A627" s="4"/>
      <c r="B627" s="4"/>
      <c r="C627" s="4"/>
      <c r="D627" s="4"/>
      <c r="E627" s="4"/>
      <c r="F627" s="5"/>
      <c r="G627" s="4"/>
      <c r="H627" s="269"/>
      <c r="I627" s="4"/>
      <c r="J627" s="6"/>
    </row>
    <row r="628" spans="1:10" ht="14.25">
      <c r="A628" s="4"/>
      <c r="B628" s="4"/>
      <c r="C628" s="4"/>
      <c r="D628" s="4"/>
      <c r="E628" s="4"/>
      <c r="F628" s="5"/>
      <c r="G628" s="4"/>
      <c r="H628" s="4"/>
      <c r="I628" s="4"/>
      <c r="J628" s="6"/>
    </row>
    <row r="629" spans="1:10" ht="14.25">
      <c r="A629" s="4"/>
      <c r="B629" s="4"/>
      <c r="C629" s="4"/>
      <c r="D629" s="4"/>
      <c r="E629" s="4"/>
      <c r="F629" s="5"/>
      <c r="G629" s="4"/>
      <c r="H629" s="4"/>
      <c r="I629" s="334" t="s">
        <v>12</v>
      </c>
      <c r="J629" s="334"/>
    </row>
    <row r="630" spans="1:10" ht="14.25">
      <c r="A630" s="4"/>
      <c r="B630" s="4"/>
      <c r="C630" s="4"/>
      <c r="D630" s="4"/>
      <c r="E630" s="4"/>
      <c r="F630" s="5"/>
      <c r="G630" s="4"/>
      <c r="H630" s="4"/>
      <c r="I630" s="334" t="s">
        <v>13</v>
      </c>
      <c r="J630" s="334"/>
    </row>
    <row r="631" spans="1:10" ht="14.25">
      <c r="A631" s="4"/>
      <c r="B631" s="4"/>
      <c r="C631" s="4"/>
      <c r="D631" s="4"/>
      <c r="E631" s="4"/>
      <c r="F631" s="5"/>
      <c r="G631" s="4"/>
      <c r="H631" s="4"/>
      <c r="I631" s="23"/>
      <c r="J631" s="23"/>
    </row>
    <row r="632" spans="1:10" ht="14.25">
      <c r="A632" s="4"/>
      <c r="B632" s="4"/>
      <c r="C632" s="4"/>
      <c r="D632" s="4"/>
      <c r="E632" s="4"/>
      <c r="F632" s="5"/>
      <c r="G632" s="4"/>
      <c r="H632" s="4"/>
      <c r="I632" s="23"/>
      <c r="J632" s="23"/>
    </row>
    <row r="639" spans="6:8" ht="14.25">
      <c r="F639" s="305"/>
      <c r="H639" s="305"/>
    </row>
  </sheetData>
  <sheetProtection/>
  <mergeCells count="123">
    <mergeCell ref="I64:J64"/>
    <mergeCell ref="I77:J77"/>
    <mergeCell ref="I7:J7"/>
    <mergeCell ref="A1:D1"/>
    <mergeCell ref="I6:J6"/>
    <mergeCell ref="I17:J17"/>
    <mergeCell ref="I18:J18"/>
    <mergeCell ref="I63:J63"/>
    <mergeCell ref="I78:J78"/>
    <mergeCell ref="I85:J85"/>
    <mergeCell ref="I86:J86"/>
    <mergeCell ref="I98:J98"/>
    <mergeCell ref="I99:J99"/>
    <mergeCell ref="I105:J105"/>
    <mergeCell ref="I106:J106"/>
    <mergeCell ref="I114:J114"/>
    <mergeCell ref="I115:J115"/>
    <mergeCell ref="I127:J127"/>
    <mergeCell ref="I128:J128"/>
    <mergeCell ref="I136:J136"/>
    <mergeCell ref="I137:J137"/>
    <mergeCell ref="A175:J175"/>
    <mergeCell ref="I179:J179"/>
    <mergeCell ref="I180:J180"/>
    <mergeCell ref="I189:J189"/>
    <mergeCell ref="I190:J190"/>
    <mergeCell ref="A209:J209"/>
    <mergeCell ref="I213:J213"/>
    <mergeCell ref="I214:J214"/>
    <mergeCell ref="A225:J225"/>
    <mergeCell ref="I228:J228"/>
    <mergeCell ref="I229:J229"/>
    <mergeCell ref="I236:J236"/>
    <mergeCell ref="I237:J237"/>
    <mergeCell ref="I244:J244"/>
    <mergeCell ref="I245:J245"/>
    <mergeCell ref="I272:J272"/>
    <mergeCell ref="I273:J273"/>
    <mergeCell ref="I309:J309"/>
    <mergeCell ref="I318:J318"/>
    <mergeCell ref="I319:J319"/>
    <mergeCell ref="I327:J327"/>
    <mergeCell ref="I328:J328"/>
    <mergeCell ref="I288:J288"/>
    <mergeCell ref="I289:J289"/>
    <mergeCell ref="I308:J308"/>
    <mergeCell ref="I297:J297"/>
    <mergeCell ref="I298:J298"/>
    <mergeCell ref="I335:J335"/>
    <mergeCell ref="I599:J599"/>
    <mergeCell ref="I600:J600"/>
    <mergeCell ref="I610:J610"/>
    <mergeCell ref="I611:J611"/>
    <mergeCell ref="A589:B589"/>
    <mergeCell ref="I585:J585"/>
    <mergeCell ref="I586:J586"/>
    <mergeCell ref="I571:J571"/>
    <mergeCell ref="I570:J570"/>
    <mergeCell ref="I336:J336"/>
    <mergeCell ref="I346:J346"/>
    <mergeCell ref="I347:J347"/>
    <mergeCell ref="I356:J356"/>
    <mergeCell ref="I357:J357"/>
    <mergeCell ref="I366:J366"/>
    <mergeCell ref="I367:J367"/>
    <mergeCell ref="I375:J375"/>
    <mergeCell ref="I376:J376"/>
    <mergeCell ref="I389:J389"/>
    <mergeCell ref="I390:J390"/>
    <mergeCell ref="I398:J398"/>
    <mergeCell ref="I399:J399"/>
    <mergeCell ref="I410:J410"/>
    <mergeCell ref="I411:J411"/>
    <mergeCell ref="A412:J412"/>
    <mergeCell ref="A424:E424"/>
    <mergeCell ref="I426:J426"/>
    <mergeCell ref="I427:J427"/>
    <mergeCell ref="A428:J428"/>
    <mergeCell ref="A442:E442"/>
    <mergeCell ref="C444:F444"/>
    <mergeCell ref="C445:D445"/>
    <mergeCell ref="I446:J446"/>
    <mergeCell ref="I447:J447"/>
    <mergeCell ref="A448:J448"/>
    <mergeCell ref="A462:E462"/>
    <mergeCell ref="I463:J463"/>
    <mergeCell ref="C464:F464"/>
    <mergeCell ref="C465:D465"/>
    <mergeCell ref="I621:J621"/>
    <mergeCell ref="I499:J499"/>
    <mergeCell ref="I519:J519"/>
    <mergeCell ref="I520:J520"/>
    <mergeCell ref="I562:J562"/>
    <mergeCell ref="I630:J630"/>
    <mergeCell ref="I620:J620"/>
    <mergeCell ref="I466:J466"/>
    <mergeCell ref="I467:J467"/>
    <mergeCell ref="A468:J468"/>
    <mergeCell ref="A476:E476"/>
    <mergeCell ref="C478:F478"/>
    <mergeCell ref="I490:J490"/>
    <mergeCell ref="I498:J498"/>
    <mergeCell ref="C466:D466"/>
    <mergeCell ref="I538:J538"/>
    <mergeCell ref="I629:J629"/>
    <mergeCell ref="C479:D479"/>
    <mergeCell ref="C480:D480"/>
    <mergeCell ref="I480:J480"/>
    <mergeCell ref="I481:J481"/>
    <mergeCell ref="I528:J528"/>
    <mergeCell ref="I529:J529"/>
    <mergeCell ref="I489:J489"/>
    <mergeCell ref="I509:J509"/>
    <mergeCell ref="A562:B562"/>
    <mergeCell ref="I510:J510"/>
    <mergeCell ref="A530:J530"/>
    <mergeCell ref="I563:J563"/>
    <mergeCell ref="I554:J554"/>
    <mergeCell ref="I555:J555"/>
    <mergeCell ref="A511:B511"/>
    <mergeCell ref="I546:J546"/>
    <mergeCell ref="I547:J547"/>
    <mergeCell ref="I539:J539"/>
  </mergeCells>
  <printOptions horizontalCentered="1"/>
  <pageMargins left="0.1968503937007874" right="0.1968503937007874" top="0.9055118110236221" bottom="0.3937007874015748" header="0.5511811023622047" footer="0.5118110236220472"/>
  <pageSetup firstPageNumber="1" useFirstPageNumber="1" fitToHeight="0" fitToWidth="1" horizontalDpi="600" verticalDpi="600" orientation="landscape" pageOrder="overThenDown" paperSize="9" scale="82" r:id="rId1"/>
  <headerFooter alignWithMargins="0">
    <oddHeader>&amp;R&amp;"Times New Roman,Kursywa"&amp;12załącznik nr 1- formularz asortymentowo- cenowy</oddHeader>
    <oddFooter>&amp;CStrona &amp;P z &amp;N</oddFooter>
  </headerFooter>
  <rowBreaks count="51" manualBreakCount="51">
    <brk id="7" max="255" man="1"/>
    <brk id="18" max="255" man="1"/>
    <brk id="64" max="255" man="1"/>
    <brk id="78" max="255" man="1"/>
    <brk id="86" max="255" man="1"/>
    <brk id="99" max="255" man="1"/>
    <brk id="106" max="255" man="1"/>
    <brk id="115" max="255" man="1"/>
    <brk id="128" max="255" man="1"/>
    <brk id="137" max="255" man="1"/>
    <brk id="146" max="9" man="1"/>
    <brk id="154" max="255" man="1"/>
    <brk id="180" max="255" man="1"/>
    <brk id="190" max="255" man="1"/>
    <brk id="201" max="255" man="1"/>
    <brk id="214" max="255" man="1"/>
    <brk id="229" max="255" man="1"/>
    <brk id="237" max="255" man="1"/>
    <brk id="245" max="255" man="1"/>
    <brk id="273" max="255" man="1"/>
    <brk id="289" max="9" man="1"/>
    <brk id="298" max="255" man="1"/>
    <brk id="309" max="9" man="1"/>
    <brk id="319" max="9" man="1"/>
    <brk id="328" max="255" man="1"/>
    <brk id="336" max="255" man="1"/>
    <brk id="347" max="255" man="1"/>
    <brk id="357" max="255" man="1"/>
    <brk id="367" max="255" man="1"/>
    <brk id="376" max="255" man="1"/>
    <brk id="390" max="255" man="1"/>
    <brk id="399" max="255" man="1"/>
    <brk id="411" max="255" man="1"/>
    <brk id="427" max="255" man="1"/>
    <brk id="447" max="255" man="1"/>
    <brk id="467" max="255" man="1"/>
    <brk id="481" max="9" man="1"/>
    <brk id="490" max="9" man="1"/>
    <brk id="499" max="9" man="1"/>
    <brk id="510" max="9" man="1"/>
    <brk id="520" max="9" man="1"/>
    <brk id="529" max="9" man="1"/>
    <brk id="540" max="9" man="1"/>
    <brk id="548" max="9" man="1"/>
    <brk id="555" max="9" man="1"/>
    <brk id="564" max="9" man="1"/>
    <brk id="573" max="9" man="1"/>
    <brk id="588" max="9" man="1"/>
    <brk id="600" max="9" man="1"/>
    <brk id="612" max="9" man="1"/>
    <brk id="622" max="9" man="1"/>
  </rowBreaks>
  <colBreaks count="1" manualBreakCount="1">
    <brk id="1" max="629"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Your User Name</cp:lastModifiedBy>
  <cp:lastPrinted>2014-07-29T08:36:00Z</cp:lastPrinted>
  <dcterms:created xsi:type="dcterms:W3CDTF">2014-04-01T13:07:12Z</dcterms:created>
  <dcterms:modified xsi:type="dcterms:W3CDTF">2014-08-08T12:13:56Z</dcterms:modified>
  <cp:category/>
  <cp:version/>
  <cp:contentType/>
  <cp:contentStatus/>
</cp:coreProperties>
</file>